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94AECDE7-6BD0-4BBB-8DC4-C9E6BDD6B6A7}" xr6:coauthVersionLast="47" xr6:coauthVersionMax="47" xr10:uidLastSave="{00000000-0000-0000-0000-000000000000}"/>
  <bookViews>
    <workbookView xWindow="-120" yWindow="-120" windowWidth="20640" windowHeight="11160" tabRatio="658" xr2:uid="{00000000-000D-0000-FFFF-FFFF00000000}"/>
  </bookViews>
  <sheets>
    <sheet name="ورود اطلاعات" sheetId="5" r:id="rId1"/>
    <sheet name="جدول محاسبات" sheetId="7" r:id="rId2"/>
    <sheet name="حکم سال 1402" sheetId="8" r:id="rId3"/>
    <sheet name="حکم سال 1403" sheetId="9" r:id="rId4"/>
    <sheet name="Sheet1" sheetId="11" state="veryHidden" r:id="rId5"/>
    <sheet name="Sheet2" sheetId="6" state="veryHidden" r:id="rId6"/>
    <sheet name="ورود اطلاعات (2)" sheetId="10" state="veryHidden" r:id="rId7"/>
  </sheets>
  <definedNames>
    <definedName name="_xlnm.Print_Area" localSheetId="1">'جدول محاسبات'!$B$1:$I$45</definedName>
    <definedName name="_xlnm.Print_Area" localSheetId="2">'حکم سال 1402'!$B$1:$H$50</definedName>
    <definedName name="_xlnm.Print_Area" localSheetId="3">'حکم سال 1403'!$B$1:$H$49</definedName>
    <definedName name="_xlnm.Print_Area" localSheetId="0">'ورود اطلاعات'!$B$1:$F$28</definedName>
    <definedName name="_xlnm.Print_Area" localSheetId="6">'ورود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7" l="1"/>
  <c r="H40" i="8" s="1"/>
  <c r="F30" i="7"/>
  <c r="H30" i="7" s="1"/>
  <c r="P54" i="6"/>
  <c r="G15" i="7"/>
  <c r="F19" i="7"/>
  <c r="M58" i="6" s="1"/>
  <c r="F20" i="7"/>
  <c r="I21" i="11"/>
  <c r="I22" i="11"/>
  <c r="J20" i="11"/>
  <c r="J19" i="11"/>
  <c r="G24" i="7"/>
  <c r="G23" i="7"/>
  <c r="I28" i="7"/>
  <c r="H39" i="9" s="1"/>
  <c r="L13" i="11"/>
  <c r="L12" i="11"/>
  <c r="K59" i="6"/>
  <c r="N54" i="6"/>
  <c r="B3" i="11"/>
  <c r="C3" i="11" s="1"/>
  <c r="B2" i="11"/>
  <c r="C2" i="11" s="1"/>
  <c r="G40" i="9" l="1"/>
  <c r="I30" i="7"/>
  <c r="H40" i="9" s="1"/>
  <c r="G30" i="7"/>
  <c r="H41" i="8" s="1"/>
  <c r="G41" i="8"/>
  <c r="H19" i="7"/>
  <c r="I19" i="7" s="1"/>
  <c r="J22" i="11"/>
  <c r="H20" i="7" s="1"/>
  <c r="J21" i="11"/>
  <c r="G20" i="7"/>
  <c r="I25" i="7"/>
  <c r="G19" i="7"/>
  <c r="C4" i="11"/>
  <c r="I15" i="7"/>
  <c r="H28" i="9" l="1"/>
  <c r="G11" i="7"/>
  <c r="H24" i="8" s="1"/>
  <c r="G8" i="7" l="1"/>
  <c r="N47" i="6" s="1"/>
  <c r="I8" i="7" l="1"/>
  <c r="H21" i="9"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G21" i="7"/>
  <c r="F4" i="7"/>
  <c r="F16" i="7"/>
  <c r="M55" i="6" s="1"/>
  <c r="N55" i="6" s="1"/>
  <c r="F5" i="7"/>
  <c r="H28" i="8"/>
  <c r="G10" i="7"/>
  <c r="M43" i="6" l="1"/>
  <c r="N43" i="6" s="1"/>
  <c r="G4" i="7"/>
  <c r="M44" i="6"/>
  <c r="N44" i="6" s="1"/>
  <c r="H16" i="7"/>
  <c r="Q7" i="10"/>
  <c r="Q6" i="10"/>
  <c r="G55" i="6"/>
  <c r="H55" i="6" s="1"/>
  <c r="G56" i="6"/>
  <c r="H56" i="6" s="1"/>
  <c r="G66" i="6"/>
  <c r="H66" i="6" s="1"/>
  <c r="G16" i="7"/>
  <c r="G5" i="7"/>
  <c r="H34" i="8"/>
  <c r="AG39" i="6"/>
  <c r="K35" i="6" l="1"/>
  <c r="N60" i="6" s="1"/>
  <c r="H4" i="7"/>
  <c r="I4" i="7" s="1"/>
  <c r="H5" i="7"/>
  <c r="I5" i="7" s="1"/>
  <c r="H18" i="9" s="1"/>
  <c r="I16" i="7"/>
  <c r="H29" i="9" s="1"/>
  <c r="G29"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M63" i="6"/>
  <c r="N63" i="6" s="1"/>
  <c r="M62" i="6"/>
  <c r="N62" i="6" s="1"/>
  <c r="G22" i="7"/>
  <c r="M59" i="6"/>
  <c r="F18" i="7"/>
  <c r="F17" i="7"/>
  <c r="F14" i="7"/>
  <c r="G13" i="7"/>
  <c r="H26" i="8" s="1"/>
  <c r="G12" i="7"/>
  <c r="H25" i="8" s="1"/>
  <c r="H23" i="8"/>
  <c r="F9" i="7"/>
  <c r="H59" i="6"/>
  <c r="F6" i="7"/>
  <c r="Q8" i="10" s="1"/>
  <c r="R6" i="10" s="1"/>
  <c r="H18" i="8"/>
  <c r="H17" i="9" l="1"/>
  <c r="G17" i="9"/>
  <c r="M57" i="6"/>
  <c r="N57" i="6" s="1"/>
  <c r="G18" i="7"/>
  <c r="H31" i="8" s="1"/>
  <c r="G18" i="9"/>
  <c r="M48" i="6"/>
  <c r="N48" i="6" s="1"/>
  <c r="M53" i="6"/>
  <c r="N53" i="6" s="1"/>
  <c r="M56" i="6"/>
  <c r="N56" i="6" s="1"/>
  <c r="N61" i="6"/>
  <c r="I22" i="7" s="1"/>
  <c r="H38" i="9" s="1"/>
  <c r="R7" i="10"/>
  <c r="Q9" i="10" s="1"/>
  <c r="K12" i="10" s="1"/>
  <c r="I21" i="7"/>
  <c r="H34" i="9" s="1"/>
  <c r="G68" i="6"/>
  <c r="H68" i="6" s="1"/>
  <c r="G73" i="6"/>
  <c r="H73" i="6" s="1"/>
  <c r="G74" i="6"/>
  <c r="H74" i="6" s="1"/>
  <c r="G60" i="6"/>
  <c r="H60" i="6" s="1"/>
  <c r="G64" i="6"/>
  <c r="H64" i="6" s="1"/>
  <c r="G67" i="6"/>
  <c r="H67" i="6" s="1"/>
  <c r="H38" i="8"/>
  <c r="G69" i="6"/>
  <c r="H69" i="6" s="1"/>
  <c r="G70" i="6"/>
  <c r="H70" i="6" s="1"/>
  <c r="G9" i="7"/>
  <c r="H22" i="8" s="1"/>
  <c r="G6" i="7"/>
  <c r="I38" i="6"/>
  <c r="I39" i="6"/>
  <c r="H21" i="8"/>
  <c r="G17" i="7"/>
  <c r="G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J8" i="11" l="1"/>
  <c r="K4" i="11" s="1"/>
  <c r="H18" i="7"/>
  <c r="I18" i="7" s="1"/>
  <c r="H31" i="9" s="1"/>
  <c r="B44" i="7"/>
  <c r="H33" i="8"/>
  <c r="H32" i="8"/>
  <c r="N59" i="6"/>
  <c r="N58" i="6"/>
  <c r="H9" i="7"/>
  <c r="I9" i="7" s="1"/>
  <c r="H22" i="9" s="1"/>
  <c r="H36" i="8"/>
  <c r="H17" i="7"/>
  <c r="I17" i="7" s="1"/>
  <c r="H30" i="9" s="1"/>
  <c r="H14" i="7"/>
  <c r="M45" i="6"/>
  <c r="I20" i="7"/>
  <c r="H33" i="9" s="1"/>
  <c r="G33" i="9"/>
  <c r="H35" i="8"/>
  <c r="I36" i="6"/>
  <c r="K31" i="6" s="1"/>
  <c r="H19" i="8"/>
  <c r="G7" i="7"/>
  <c r="E11" i="6" s="1"/>
  <c r="H27" i="8"/>
  <c r="H30" i="8"/>
  <c r="AA41" i="6"/>
  <c r="AB40" i="6" s="1"/>
  <c r="AD40" i="6" s="1"/>
  <c r="AL44" i="6"/>
  <c r="AA43" i="6"/>
  <c r="AB43" i="6" s="1"/>
  <c r="AD43" i="6" s="1"/>
  <c r="AN44" i="6"/>
  <c r="AA40" i="6"/>
  <c r="K3" i="11" l="1"/>
  <c r="K6" i="11"/>
  <c r="K7" i="11"/>
  <c r="K5" i="11"/>
  <c r="G34" i="7"/>
  <c r="G31" i="9"/>
  <c r="G26" i="7"/>
  <c r="H35" i="9"/>
  <c r="G32" i="9"/>
  <c r="H6" i="7"/>
  <c r="E22" i="6" s="1"/>
  <c r="B43" i="7" s="1"/>
  <c r="H32" i="9"/>
  <c r="G22" i="9"/>
  <c r="G30" i="9"/>
  <c r="I14" i="7"/>
  <c r="H27" i="9" s="1"/>
  <c r="G27" i="9"/>
  <c r="N45" i="6"/>
  <c r="N46" i="6" s="1"/>
  <c r="M46" i="6"/>
  <c r="M67" i="6" s="1"/>
  <c r="I37" i="6"/>
  <c r="K32" i="6" s="1"/>
  <c r="G57" i="6"/>
  <c r="AD44" i="6"/>
  <c r="AI39" i="6" s="1"/>
  <c r="H37" i="8" l="1"/>
  <c r="G29" i="7"/>
  <c r="H39" i="8" s="1"/>
  <c r="N50" i="6"/>
  <c r="H7" i="7"/>
  <c r="H31" i="7" s="1"/>
  <c r="G19" i="9"/>
  <c r="G20" i="9" s="1"/>
  <c r="G41" i="9" s="1"/>
  <c r="I6" i="7"/>
  <c r="N49" i="6"/>
  <c r="J33" i="6"/>
  <c r="E10" i="7" s="1"/>
  <c r="J35" i="6"/>
  <c r="E11" i="7" s="1"/>
  <c r="H57" i="6"/>
  <c r="H58" i="6" s="1"/>
  <c r="AQ42" i="6" s="1"/>
  <c r="G58" i="6"/>
  <c r="G76" i="6" s="1"/>
  <c r="AI42" i="6"/>
  <c r="AJ42" i="6"/>
  <c r="AJ40" i="6"/>
  <c r="AI40" i="6"/>
  <c r="F7" i="7"/>
  <c r="F31" i="7" s="1"/>
  <c r="AJ39" i="6"/>
  <c r="G31" i="7" l="1"/>
  <c r="G36" i="7" s="1"/>
  <c r="G35" i="7"/>
  <c r="G38" i="7" s="1"/>
  <c r="H19" i="9"/>
  <c r="H20" i="9" s="1"/>
  <c r="J9" i="11"/>
  <c r="I7" i="7"/>
  <c r="AI43" i="6"/>
  <c r="AJ44" i="6" s="1"/>
  <c r="G17" i="8"/>
  <c r="G20" i="8" s="1"/>
  <c r="G42" i="8" s="1"/>
  <c r="AJ43" i="6"/>
  <c r="K51" i="10" l="1"/>
  <c r="K52" i="10" s="1"/>
  <c r="K50" i="10" s="1"/>
  <c r="K49" i="10" s="1"/>
  <c r="H34" i="7"/>
  <c r="L7" i="11"/>
  <c r="L3" i="11"/>
  <c r="L6" i="11"/>
  <c r="L4" i="11"/>
  <c r="L5" i="11"/>
  <c r="I10" i="7"/>
  <c r="I11" i="7"/>
  <c r="H24" i="9" s="1"/>
  <c r="H61" i="6"/>
  <c r="H17" i="8"/>
  <c r="H20" i="8" s="1"/>
  <c r="H42" i="8" s="1"/>
  <c r="I29" i="7" l="1"/>
  <c r="H37" i="9" s="1"/>
  <c r="H23" i="9"/>
  <c r="J34" i="6"/>
  <c r="E21" i="7" s="1"/>
  <c r="H71" i="6"/>
  <c r="G39" i="7"/>
  <c r="AQ38" i="6"/>
  <c r="K33" i="6" l="1"/>
  <c r="I12" i="7" s="1"/>
  <c r="K34" i="6"/>
  <c r="N52" i="6" l="1"/>
  <c r="I13" i="7"/>
  <c r="I2" i="6" s="1"/>
  <c r="E9" i="6" s="1"/>
  <c r="H25" i="9"/>
  <c r="H63" i="6"/>
  <c r="J32" i="6"/>
  <c r="E13" i="7" s="1"/>
  <c r="H62" i="6"/>
  <c r="J31" i="6"/>
  <c r="E12" i="7" s="1"/>
  <c r="E10" i="6" l="1"/>
  <c r="I27" i="7" s="1"/>
  <c r="H26" i="9"/>
  <c r="H75" i="6"/>
  <c r="H76" i="6" s="1"/>
  <c r="B42" i="7" l="1"/>
  <c r="H35" i="7"/>
  <c r="H38" i="7" s="1"/>
  <c r="I31" i="7"/>
  <c r="H36" i="7" s="1"/>
  <c r="H36" i="9"/>
  <c r="H41" i="9" s="1"/>
  <c r="I34" i="7"/>
  <c r="B45" i="7" s="1"/>
  <c r="AQ44" i="6"/>
  <c r="N51" i="6" s="1"/>
  <c r="H2" i="6" s="1"/>
  <c r="H39" i="7" l="1"/>
  <c r="I39" i="7" s="1"/>
  <c r="I38" i="7"/>
  <c r="N65" i="6"/>
  <c r="I35" i="7"/>
  <c r="H3" i="6" l="1"/>
  <c r="H6" i="6" s="1"/>
  <c r="H5" i="6" s="1"/>
  <c r="H4" i="6"/>
  <c r="N67" i="6" l="1"/>
  <c r="H37" i="7" l="1"/>
  <c r="I37" i="7"/>
  <c r="I36" i="7" l="1"/>
</calcChain>
</file>

<file path=xl/sharedStrings.xml><?xml version="1.0" encoding="utf-8"?>
<sst xmlns="http://schemas.openxmlformats.org/spreadsheetml/2006/main" count="446" uniqueCount="287">
  <si>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</si>
  <si>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</si>
  <si>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</si>
  <si>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</si>
  <si>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</si>
  <si>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</si>
  <si>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</si>
  <si>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</si>
  <si>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</si>
  <si>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</si>
  <si>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</si>
  <si>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</si>
  <si>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</si>
  <si>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</si>
  <si>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</si>
  <si>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</si>
  <si>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</si>
  <si>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</si>
  <si>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</si>
  <si>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</si>
  <si>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</si>
  <si>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</si>
  <si>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</si>
  <si>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</si>
  <si>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</si>
  <si>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</si>
  <si>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</si>
  <si>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</si>
  <si>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</si>
  <si>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</si>
  <si>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</si>
  <si>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</si>
  <si>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</si>
  <si>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</si>
  <si>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</si>
  <si>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</si>
  <si>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</si>
  <si>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</si>
  <si>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</si>
  <si>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</si>
  <si>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</si>
  <si>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</si>
  <si>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</si>
  <si>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</si>
  <si>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</si>
  <si>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</si>
  <si>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</si>
  <si>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</si>
  <si>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</si>
  <si>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</si>
  <si>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</si>
  <si>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</si>
  <si>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</si>
  <si>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</si>
  <si>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</si>
  <si>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</si>
  <si>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</si>
  <si>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</si>
  <si>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</si>
  <si>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</si>
  <si>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</si>
  <si>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</si>
  <si>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</si>
  <si>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</si>
  <si>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</si>
  <si>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</si>
  <si>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</si>
  <si>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</si>
  <si>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</si>
  <si>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</si>
  <si>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</si>
  <si>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</si>
  <si>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</si>
  <si>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</si>
  <si>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</si>
  <si>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</si>
  <si>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</si>
  <si>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</si>
  <si>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</si>
  <si>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</si>
  <si>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</si>
  <si>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</si>
  <si>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</si>
  <si>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</si>
  <si>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</si>
  <si>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</si>
  <si>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</si>
  <si>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</si>
  <si>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</si>
  <si>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</si>
  <si>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</si>
  <si>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</si>
  <si>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</si>
  <si>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</si>
  <si>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</si>
  <si>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</si>
  <si>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</si>
  <si>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</si>
  <si>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</si>
  <si>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</si>
  <si>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</si>
  <si>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</si>
  <si>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</si>
  <si>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</si>
  <si>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</si>
  <si>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</si>
  <si>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</si>
  <si>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</si>
  <si>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</si>
  <si>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</si>
  <si>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</si>
  <si>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</si>
  <si>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</si>
  <si>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</si>
  <si>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</si>
  <si>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</si>
  <si>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</si>
  <si>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</si>
  <si>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</si>
  <si>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</si>
  <si>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</si>
  <si>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</si>
  <si>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</si>
  <si>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</si>
  <si>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</si>
  <si>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</si>
  <si>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</si>
  <si>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</si>
  <si>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</si>
  <si>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</si>
  <si>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</si>
  <si>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</si>
  <si>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</si>
  <si>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</si>
  <si>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</si>
  <si>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</si>
  <si>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</si>
  <si>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</si>
  <si>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</si>
  <si>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</si>
  <si>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</si>
  <si>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</si>
  <si>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</si>
  <si>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</si>
  <si>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</si>
  <si>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</si>
  <si>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</si>
  <si>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</si>
  <si>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</si>
  <si>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</si>
  <si>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</si>
  <si>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</si>
  <si>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</si>
  <si>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</si>
  <si>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</si>
  <si>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</si>
  <si>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</si>
  <si>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</si>
  <si>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</si>
  <si>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</si>
  <si>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</si>
  <si>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</si>
  <si>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</si>
  <si>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</si>
  <si>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</si>
  <si>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</si>
  <si>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</si>
  <si>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</si>
  <si>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</si>
  <si>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</si>
  <si>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</si>
  <si>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وضعیت استخدامی (قراردادی / پیمانی / رسمی)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</si>
  <si>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</si>
  <si>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</si>
  <si>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</si>
  <si>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</si>
  <si>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</si>
  <si>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</si>
  <si>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</si>
  <si>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</si>
  <si>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</si>
  <si>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</si>
  <si>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</si>
  <si>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</si>
  <si>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</si>
  <si>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</si>
  <si>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</si>
  <si>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</si>
  <si>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</si>
  <si>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</si>
  <si>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</si>
  <si>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</si>
  <si>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</si>
  <si>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</si>
  <si>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</si>
  <si>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</si>
  <si>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حق شاغل 1400</t>
  </si>
  <si>
    <t>حداقل حقوق سال 1399</t>
  </si>
  <si>
    <t>حداقل حقوق سال 1400</t>
  </si>
  <si>
    <t>جدول زیر مربوط به مشمولین ماده ۵۱ قانون جامع خدمات رسانی به ایثارگران است.</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</si>
  <si>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</si>
  <si>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</si>
  <si>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</si>
  <si>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</si>
  <si>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</si>
  <si>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</si>
  <si>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</si>
  <si>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</si>
  <si>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</si>
  <si>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</si>
  <si>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</si>
  <si>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</si>
  <si>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ص ) تفاوت تطبیق موضوع جزء (۱) بند (الف) تبصره ۱۲</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</si>
  <si>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</si>
  <si>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</si>
  <si>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</si>
  <si>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</si>
  <si>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</si>
  <si>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</si>
  <si>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</si>
  <si>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</si>
  <si>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</si>
  <si>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</si>
  <si>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</si>
  <si>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</si>
  <si>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</si>
  <si>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</si>
  <si>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</si>
  <si>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</si>
  <si>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</si>
  <si>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ض ) سایر</t>
  </si>
  <si>
    <t>تفاوت جزء (1) بند (الف) تبصره (12) قانون بودجه 97</t>
  </si>
  <si>
    <t>تفاوت بند (ی) تبصره (12) قانون بودجه 98</t>
  </si>
  <si>
    <t>اعمال ضریب حقوق سال 1400
و امتیاز حق شاغل سال 1400</t>
  </si>
  <si>
    <t>جهت انجام درست محاسبات، ابتدا وضعیت استخدامی خود را از کشوی مربوطه انتخاب کنید.</t>
  </si>
  <si>
    <t>لطفا به سوال زیر بصورت بلی یا خیر پاسخ دهید.</t>
  </si>
  <si>
    <t>سطح جایگاه (پست) سازمانی</t>
  </si>
  <si>
    <t>مشمول فوق العاده ماده ۵۱  قانون جامع ایثارگران هستید؟ (بلی - خیر)</t>
  </si>
  <si>
    <t>کمتر از 30 سال سابقه خدمت دارید؟ (بلی - خیر)</t>
  </si>
  <si>
    <t>در سال 1401 ازدواج کرده و مشمول عائله مندی هستید؟ (بلی - خیر)</t>
  </si>
  <si>
    <t>تعداد فرزند متولد سال 1401 (ویژه مشمولین حق اولاد)</t>
  </si>
  <si>
    <t>اجرای جزء (12) بند (الف) تبصره (12) قانون بودجه سال 1401 در حکم کارگزینی</t>
  </si>
  <si>
    <t>تجمیع تفاوت های جزء (1) بند (الف) 97 و تفاوت بند (ی) 98</t>
  </si>
  <si>
    <t>ط ) تجمیع تفاوت های جزء (1) بند (الف) 97 و بند (ی) 98</t>
  </si>
  <si>
    <t>تعداد فرزندان مشمول حق اولاد که درسال 1401 متولد شده اند</t>
  </si>
  <si>
    <t>تعداد فرزندان مشمول حق اولاد که درسال 1402 متولد شده اند</t>
  </si>
  <si>
    <t>قبل 1401</t>
  </si>
  <si>
    <t>ترمیم حقوق</t>
  </si>
  <si>
    <t>در صورتی که مشمول رتبه بندی معلمان هستید به سوال زیر پاسخ دهید</t>
  </si>
  <si>
    <t>شغل شاغل شغل 1401</t>
  </si>
  <si>
    <t>شغل شاغل شغل 1402</t>
  </si>
  <si>
    <t>ضریب حقوق سال 1402</t>
  </si>
  <si>
    <t>حکم کارگزینی سال 1402</t>
  </si>
  <si>
    <t>ص ) فوق العاده رتبه بندی</t>
  </si>
  <si>
    <t>ع) ترمیم حقوق</t>
  </si>
  <si>
    <t>غ) ترمیم حقوق</t>
  </si>
  <si>
    <t>ع ) فوق العاده رتبه بندی</t>
  </si>
  <si>
    <t>افزایش حقوق کارمندان رسمی، پیمانی و قرارداد انجام کار معین (مشخص) مشمول قانون مدیریت خدمات کشوری در سال 1403</t>
  </si>
  <si>
    <t>لطفاً با دقت، امتیازات را مطابق با آخرین وضعیت سال 1402 خود وارد نمایید.</t>
  </si>
  <si>
    <t>لطفاً با دقت، مبالغ را مطابق با آخرین وضعیت سال 1402 خود وارد نمایید.</t>
  </si>
  <si>
    <t>لطفا با دقت کامل و با توجه به آخرین حکم کارگزینی سال 1402، تنها در خانه های آبی رنگ جداول زیر ورود اطلاعات نمایید</t>
  </si>
  <si>
    <t>ساعات آموزش سال 1402</t>
  </si>
  <si>
    <t>وضعیت حکم کارگزینی (قرارداد)
در سال 1402</t>
  </si>
  <si>
    <t>وضعیت حکم کارگزینی (قرارداد)
سال 1403</t>
  </si>
  <si>
    <t>سال 1402</t>
  </si>
  <si>
    <t>سال 1403</t>
  </si>
  <si>
    <t>حکم کارگزینی سال 1403</t>
  </si>
  <si>
    <t>با استناد به بند (الف) تبصره (15) قانون بودجه سال 1403 کل کشور
(موضوع تعيين ضريب حقوق و ميزان افزايش  حقوق كاركنان در سال 1403)</t>
  </si>
  <si>
    <t>نتیجه نهایی رتبه بندی شما کدام است؟ (1 تا 5)</t>
  </si>
  <si>
    <t>تعداد فرزندان مشمول دریافت حق اولاد را بنویسید</t>
  </si>
  <si>
    <t>عائله</t>
  </si>
  <si>
    <t>اولاد</t>
  </si>
  <si>
    <t>تعداد اولاد</t>
  </si>
  <si>
    <t>مشمول عائله</t>
  </si>
  <si>
    <t>ضریب حقوق سال 1403</t>
  </si>
  <si>
    <t>تفاوت تطبیق موضوع جزء (۱) بند (الف) تبصره (۱۲) قانون بودجه سال 1402</t>
  </si>
  <si>
    <t>تفاوت تطبیق موضوع جزء (۱) بند (الف) تبصره (15) قانون بودجه سال 1403</t>
  </si>
  <si>
    <t>نسخه 1       1403/01/07</t>
  </si>
  <si>
    <t>اطلاعات جدول زیر جهت محاسبه امتیاز حق شاغل سال 1403 می باشد.</t>
  </si>
  <si>
    <t>فوق العاده تخصص ماده 217 کارکنان امور مالیاتی (امتیاز)</t>
  </si>
  <si>
    <t>فوق العاده تخصص ماده 217 کارکنان امور مالیاتی</t>
  </si>
  <si>
    <t>ک ) فوق العاده تخصص ماده 217 کارکنان امور مالیاتی</t>
  </si>
  <si>
    <t>فوق العاده رتبه بندی معلمان</t>
  </si>
  <si>
    <t>در صورتی که مشمول عائله مندی یا حق اولاد هستید به سوالات زیر پاسخ دهید</t>
  </si>
  <si>
    <t>ظ )تفاوت تطبیق موضوع جزء (2) بند (الف) تبصره (۱5) قانون بودجه سال ۱۴۰3)</t>
  </si>
  <si>
    <t>مشمول دریافت کمک هزینه عائله مندی هستید؟ (بلی - خیر)</t>
  </si>
  <si>
    <t>تهیه و تنظیم: صیاح الدین شهدی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</si>
</sst>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63">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Calibri"/>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Calibri"/>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Calibri"/>
      <family val="2"/>
      <scheme val="minor"/>
    </font>
    <font>
      <b/>
      <sz val="12"/>
      <color theme="2" tint="-0.749992370372631"/>
      <name val="B Nazanin"/>
      <charset val="178"/>
    </font>
    <font>
      <u/>
      <sz val="10"/>
      <color theme="2" tint="-0.749992370372631"/>
      <name val="Calibri"/>
      <family val="2"/>
      <scheme val="minor"/>
    </font>
    <font>
      <b/>
      <sz val="12"/>
      <color rgb="FF7030A0"/>
      <name val="B Nazanin"/>
      <charset val="178"/>
    </font>
    <font>
      <u/>
      <sz val="10"/>
      <color theme="10"/>
      <name val="Calibri"/>
      <family val="2"/>
      <scheme val="minor"/>
    </font>
    <font>
      <u/>
      <sz val="10"/>
      <color theme="10"/>
      <name val="B Nazanin"/>
      <charset val="178"/>
    </font>
    <font>
      <sz val="11"/>
      <name val="Calibri"/>
      <family val="2"/>
      <scheme val="minor"/>
    </font>
    <font>
      <b/>
      <sz val="14"/>
      <color theme="8" tint="-0.499984740745262"/>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Calibri"/>
      <family val="2"/>
      <scheme val="minor"/>
    </font>
    <font>
      <b/>
      <sz val="11"/>
      <name val="B Mitra"/>
      <charset val="178"/>
    </font>
    <font>
      <sz val="11"/>
      <color rgb="FF002060"/>
      <name val="Calibri"/>
      <family val="2"/>
      <scheme val="minor"/>
    </font>
    <font>
      <b/>
      <sz val="10"/>
      <color theme="1"/>
      <name val="B Nazanin"/>
      <charset val="178"/>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4"/>
      <color rgb="FF333333"/>
      <name val="Calibri"/>
      <family val="2"/>
      <scheme val="minor"/>
    </font>
    <font>
      <sz val="10"/>
      <color rgb="FF333333"/>
      <name val="Calibri"/>
      <family val="2"/>
      <scheme val="minor"/>
    </font>
    <font>
      <b/>
      <sz val="16"/>
      <color theme="0"/>
      <name val="B Nazanin"/>
      <charset val="178"/>
    </font>
    <font>
      <sz val="12"/>
      <name val="B Nazanin"/>
      <charset val="178"/>
    </font>
    <font>
      <b/>
      <sz val="14"/>
      <color theme="0"/>
      <name val="B Nazanin"/>
      <charset val="178"/>
    </font>
    <font>
      <b/>
      <sz val="16"/>
      <color rgb="FFFF0000"/>
      <name val="Calibri"/>
      <family val="2"/>
      <scheme val="minor"/>
    </font>
    <font>
      <sz val="12"/>
      <color theme="1"/>
      <name val="B Yekan"/>
      <charset val="178"/>
    </font>
    <font>
      <sz val="14"/>
      <color theme="1"/>
      <name val="B Yekan"/>
      <charset val="178"/>
    </font>
    <font>
      <sz val="12"/>
      <name val="B Yekan"/>
      <charset val="178"/>
    </font>
    <font>
      <u/>
      <sz val="18"/>
      <color theme="10"/>
      <name val="B Mitra"/>
      <charset val="178"/>
    </font>
    <font>
      <sz val="14"/>
      <name val="B Mitra"/>
      <charset val="178"/>
    </font>
    <font>
      <sz val="12"/>
      <color theme="4" tint="-0.499984740745262"/>
      <name val="B Mitra"/>
      <charset val="178"/>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rgb="FF00206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6" tint="0.79998168889431442"/>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
      <left/>
      <right style="dashDotDot">
        <color rgb="FF002060"/>
      </right>
      <top/>
      <bottom style="dashDotDot">
        <color rgb="FF002060"/>
      </bottom>
      <diagonal/>
    </border>
    <border>
      <left style="dashDotDot">
        <color rgb="FF002060"/>
      </left>
      <right/>
      <top/>
      <bottom style="dashDotDot">
        <color rgb="FF002060"/>
      </bottom>
      <diagonal/>
    </border>
    <border>
      <left/>
      <right style="dashDotDot">
        <color rgb="FF002060"/>
      </right>
      <top style="dashDotDot">
        <color rgb="FF002060"/>
      </top>
      <bottom style="dashDotDot">
        <color rgb="FF002060"/>
      </bottom>
      <diagonal/>
    </border>
    <border>
      <left style="dashDotDot">
        <color rgb="FF002060"/>
      </left>
      <right/>
      <top style="dashDotDot">
        <color rgb="FF002060"/>
      </top>
      <bottom style="dashDotDot">
        <color rgb="FF002060"/>
      </bottom>
      <diagonal/>
    </border>
    <border>
      <left/>
      <right style="dashDotDot">
        <color rgb="FF002060"/>
      </right>
      <top style="dashDotDot">
        <color rgb="FF002060"/>
      </top>
      <bottom/>
      <diagonal/>
    </border>
    <border>
      <left style="dashDotDot">
        <color rgb="FF002060"/>
      </left>
      <right/>
      <top style="dashDotDot">
        <color rgb="FF002060"/>
      </top>
      <bottom/>
      <diagonal/>
    </border>
    <border>
      <left/>
      <right style="thin">
        <color theme="1"/>
      </right>
      <top/>
      <bottom style="thin">
        <color theme="1"/>
      </bottom>
      <diagonal/>
    </border>
    <border>
      <left style="thin">
        <color theme="1"/>
      </left>
      <right/>
      <top/>
      <bottom style="thin">
        <color theme="1"/>
      </bottom>
      <diagonal/>
    </border>
    <border>
      <left/>
      <right style="mediumDashed">
        <color theme="1"/>
      </right>
      <top/>
      <bottom style="mediumDashed">
        <color theme="1"/>
      </bottom>
      <diagonal/>
    </border>
    <border>
      <left style="mediumDashed">
        <color theme="1"/>
      </left>
      <right/>
      <top/>
      <bottom style="mediumDashed">
        <color theme="1"/>
      </bottom>
      <diagonal/>
    </border>
    <border>
      <left/>
      <right style="mediumDashed">
        <color theme="1"/>
      </right>
      <top style="mediumDashed">
        <color theme="1"/>
      </top>
      <bottom style="mediumDashed">
        <color theme="1"/>
      </bottom>
      <diagonal/>
    </border>
    <border>
      <left style="mediumDashed">
        <color theme="1"/>
      </left>
      <right/>
      <top style="mediumDashed">
        <color theme="1"/>
      </top>
      <bottom style="mediumDashed">
        <color theme="1"/>
      </bottom>
      <diagonal/>
    </border>
    <border>
      <left/>
      <right style="mediumDashed">
        <color theme="1"/>
      </right>
      <top style="mediumDashed">
        <color theme="1"/>
      </top>
      <bottom/>
      <diagonal/>
    </border>
    <border>
      <left style="mediumDashed">
        <color theme="1"/>
      </left>
      <right/>
      <top style="mediumDashed">
        <color theme="1"/>
      </top>
      <bottom/>
      <diagonal/>
    </border>
    <border>
      <left/>
      <right style="mediumDashed">
        <color theme="1"/>
      </right>
      <top/>
      <bottom/>
      <diagonal/>
    </border>
    <border>
      <left style="mediumDashed">
        <color theme="1"/>
      </left>
      <right/>
      <top/>
      <bottom/>
      <diagonal/>
    </border>
    <border>
      <left/>
      <right style="mediumDashDot">
        <color theme="7" tint="-0.499984740745262"/>
      </right>
      <top/>
      <bottom style="mediumDashDot">
        <color theme="7" tint="-0.499984740745262"/>
      </bottom>
      <diagonal/>
    </border>
    <border>
      <left style="mediumDashDot">
        <color theme="7" tint="-0.499984740745262"/>
      </left>
      <right/>
      <top/>
      <bottom style="mediumDashDot">
        <color theme="7" tint="-0.499984740745262"/>
      </bottom>
      <diagonal/>
    </border>
    <border>
      <left/>
      <right style="mediumDashDot">
        <color theme="7" tint="-0.499984740745262"/>
      </right>
      <top style="mediumDashDot">
        <color theme="7" tint="-0.499984740745262"/>
      </top>
      <bottom style="mediumDashDot">
        <color theme="7" tint="-0.499984740745262"/>
      </bottom>
      <diagonal/>
    </border>
    <border>
      <left style="mediumDashDot">
        <color theme="7" tint="-0.499984740745262"/>
      </left>
      <right/>
      <top style="mediumDashDot">
        <color theme="7" tint="-0.499984740745262"/>
      </top>
      <bottom style="mediumDashDot">
        <color theme="7" tint="-0.499984740745262"/>
      </bottom>
      <diagonal/>
    </border>
    <border>
      <left/>
      <right style="mediumDashDot">
        <color theme="7" tint="-0.499984740745262"/>
      </right>
      <top style="mediumDashDot">
        <color theme="7" tint="-0.499984740745262"/>
      </top>
      <bottom/>
      <diagonal/>
    </border>
    <border>
      <left style="mediumDashDot">
        <color theme="7" tint="-0.499984740745262"/>
      </left>
      <right/>
      <top style="mediumDashDot">
        <color theme="7" tint="-0.499984740745262"/>
      </top>
      <bottom/>
      <diagonal/>
    </border>
  </borders>
  <cellStyleXfs count="2">
    <xf numFmtId="0" fontId="0" fillId="0" borderId="0"/>
    <xf numFmtId="0" fontId="7" fillId="0" borderId="0" applyNumberFormat="0" applyFill="0" applyBorder="0" applyAlignment="0" applyProtection="0"/>
  </cellStyleXfs>
  <cellXfs count="489">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Border="1" applyAlignment="1" applyProtection="1">
      <alignment horizontal="center" vertical="center" shrinkToFit="1" readingOrder="2"/>
      <protection hidden="1"/>
    </xf>
    <xf numFmtId="1" fontId="12" fillId="0" borderId="7" xfId="0" applyNumberFormat="1" applyFont="1" applyBorder="1" applyAlignment="1" applyProtection="1">
      <alignment horizontal="center" vertical="center" shrinkToFit="1" readingOrder="2"/>
      <protection hidden="1"/>
    </xf>
    <xf numFmtId="3" fontId="12" fillId="0" borderId="37" xfId="0" applyNumberFormat="1" applyFont="1" applyBorder="1" applyAlignment="1" applyProtection="1">
      <alignment horizontal="center" vertical="center" shrinkToFit="1" readingOrder="2"/>
      <protection hidden="1"/>
    </xf>
    <xf numFmtId="1" fontId="12" fillId="0" borderId="21" xfId="0" applyNumberFormat="1" applyFont="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5" fillId="22" borderId="18" xfId="0" applyFont="1" applyFill="1" applyBorder="1" applyAlignment="1" applyProtection="1">
      <alignment horizontal="center" vertical="center" shrinkToFit="1" readingOrder="2"/>
      <protection hidden="1"/>
    </xf>
    <xf numFmtId="0" fontId="35"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7"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1" fillId="2" borderId="0" xfId="0" applyFont="1" applyFill="1" applyAlignment="1" applyProtection="1">
      <alignment vertical="center" readingOrder="2"/>
      <protection hidden="1"/>
    </xf>
    <xf numFmtId="0" fontId="2" fillId="2" borderId="0" xfId="0" applyFont="1" applyFill="1" applyAlignment="1" applyProtection="1">
      <alignment vertical="center" readingOrder="2"/>
      <protection hidden="1"/>
    </xf>
    <xf numFmtId="3" fontId="2" fillId="2" borderId="0" xfId="0" applyNumberFormat="1" applyFont="1" applyFill="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5"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Alignment="1" applyProtection="1">
      <alignment horizontal="center" vertical="center" shrinkToFit="1"/>
      <protection hidden="1"/>
    </xf>
    <xf numFmtId="3" fontId="1" fillId="0" borderId="0" xfId="0" applyNumberFormat="1" applyFont="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3" fillId="4" borderId="7" xfId="0" applyNumberFormat="1" applyFont="1" applyFill="1" applyBorder="1" applyAlignment="1" applyProtection="1">
      <alignment horizontal="center" vertical="center"/>
      <protection hidden="1"/>
    </xf>
    <xf numFmtId="2" fontId="43" fillId="0" borderId="7" xfId="0" applyNumberFormat="1" applyFont="1" applyBorder="1" applyAlignment="1" applyProtection="1">
      <alignment horizontal="center" vertical="center"/>
      <protection hidden="1"/>
    </xf>
    <xf numFmtId="3" fontId="12" fillId="0" borderId="7" xfId="0" applyNumberFormat="1" applyFont="1" applyBorder="1" applyAlignment="1" applyProtection="1">
      <alignment horizontal="center" vertical="center" shrinkToFit="1" readingOrder="2"/>
      <protection hidden="1"/>
    </xf>
    <xf numFmtId="0" fontId="1" fillId="0" borderId="0" xfId="0" applyFont="1" applyAlignment="1" applyProtection="1">
      <alignment vertical="center" shrinkToFit="1" readingOrder="2"/>
      <protection hidden="1"/>
    </xf>
    <xf numFmtId="0" fontId="2" fillId="0" borderId="0" xfId="0" applyFont="1" applyAlignment="1" applyProtection="1">
      <alignment vertical="center" readingOrder="2"/>
      <protection hidden="1"/>
    </xf>
    <xf numFmtId="0" fontId="33" fillId="0" borderId="0" xfId="0" applyFont="1" applyProtection="1">
      <protection hidden="1"/>
    </xf>
    <xf numFmtId="1" fontId="1" fillId="0" borderId="0" xfId="0" applyNumberFormat="1" applyFont="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3" fillId="0" borderId="0" xfId="0" applyFont="1" applyAlignment="1" applyProtection="1">
      <alignment shrinkToFit="1"/>
      <protection hidden="1"/>
    </xf>
    <xf numFmtId="0" fontId="2" fillId="0" borderId="0" xfId="0" applyFont="1" applyAlignment="1" applyProtection="1">
      <alignment shrinkToFit="1"/>
      <protection hidden="1"/>
    </xf>
    <xf numFmtId="0" fontId="26" fillId="0" borderId="0" xfId="0" applyFont="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Alignment="1" applyProtection="1">
      <alignment vertical="top" shrinkToFit="1" readingOrder="2"/>
      <protection hidden="1"/>
    </xf>
    <xf numFmtId="3" fontId="12" fillId="0" borderId="7" xfId="0" applyNumberFormat="1" applyFont="1" applyBorder="1" applyAlignment="1" applyProtection="1">
      <alignment horizontal="center" vertical="center" shrinkToFit="1" readingOrder="1"/>
      <protection hidden="1"/>
    </xf>
    <xf numFmtId="164" fontId="11" fillId="11" borderId="7" xfId="0" applyNumberFormat="1" applyFont="1" applyFill="1" applyBorder="1" applyAlignment="1" applyProtection="1">
      <alignment horizontal="center" vertical="center" shrinkToFit="1"/>
      <protection locked="0"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7" fillId="3" borderId="7"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shrinkToFit="1" readingOrder="2"/>
      <protection hidden="1"/>
    </xf>
    <xf numFmtId="1" fontId="44" fillId="5" borderId="7" xfId="0" applyNumberFormat="1" applyFont="1" applyFill="1" applyBorder="1" applyAlignment="1" applyProtection="1">
      <alignment horizontal="center" vertical="center" shrinkToFit="1" readingOrder="2"/>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1" fillId="0" borderId="7" xfId="0" applyFont="1" applyBorder="1" applyAlignment="1">
      <alignment horizontal="center" vertical="center" wrapText="1" readingOrder="2"/>
    </xf>
    <xf numFmtId="0" fontId="52" fillId="0" borderId="7" xfId="0" applyFont="1" applyBorder="1" applyAlignment="1">
      <alignment horizontal="center" vertical="center" wrapText="1" readingOrder="2"/>
    </xf>
    <xf numFmtId="3" fontId="11" fillId="8" borderId="64" xfId="0" applyNumberFormat="1" applyFont="1" applyFill="1" applyBorder="1" applyAlignment="1" applyProtection="1">
      <alignment horizontal="center" vertical="center" shrinkToFit="1" readingOrder="1"/>
      <protection hidden="1"/>
    </xf>
    <xf numFmtId="1" fontId="11" fillId="0" borderId="67" xfId="0" applyNumberFormat="1" applyFont="1" applyBorder="1" applyAlignment="1" applyProtection="1">
      <alignment horizontal="center" vertical="center" shrinkToFit="1" readingOrder="2"/>
      <protection hidden="1"/>
    </xf>
    <xf numFmtId="3" fontId="11" fillId="0" borderId="66" xfId="0" applyNumberFormat="1" applyFont="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Border="1" applyAlignment="1" applyProtection="1">
      <alignment horizontal="center" vertical="center" shrinkToFit="1" readingOrder="2"/>
      <protection hidden="1"/>
    </xf>
    <xf numFmtId="3" fontId="11" fillId="0" borderId="29" xfId="0" applyNumberFormat="1" applyFont="1" applyBorder="1" applyAlignment="1" applyProtection="1">
      <alignment horizontal="center" vertical="center" shrinkToFit="1" readingOrder="2"/>
      <protection hidden="1"/>
    </xf>
    <xf numFmtId="1" fontId="11" fillId="0" borderId="68" xfId="0" applyNumberFormat="1" applyFont="1" applyBorder="1" applyAlignment="1" applyProtection="1">
      <alignment horizontal="center" vertical="center" shrinkToFit="1" readingOrder="2"/>
      <protection hidden="1"/>
    </xf>
    <xf numFmtId="3" fontId="11" fillId="0" borderId="64" xfId="0" applyNumberFormat="1" applyFont="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3" fontId="38" fillId="0" borderId="74" xfId="0" applyNumberFormat="1" applyFont="1" applyBorder="1" applyAlignment="1" applyProtection="1">
      <alignment horizontal="center" vertical="center" shrinkToFit="1" readingOrder="1"/>
      <protection hidden="1"/>
    </xf>
    <xf numFmtId="3" fontId="38" fillId="11" borderId="81" xfId="0" applyNumberFormat="1" applyFont="1" applyFill="1" applyBorder="1" applyAlignment="1" applyProtection="1">
      <alignment horizontal="center" vertical="center" shrinkToFit="1" readingOrder="1"/>
      <protection hidden="1"/>
    </xf>
    <xf numFmtId="0" fontId="55" fillId="25" borderId="7" xfId="0" applyFont="1" applyFill="1" applyBorder="1" applyAlignment="1" applyProtection="1">
      <alignment horizontal="center" vertical="center" shrinkToFit="1" readingOrder="2"/>
      <protection hidden="1"/>
    </xf>
    <xf numFmtId="0" fontId="0" fillId="0" borderId="7" xfId="0" applyBorder="1" applyAlignment="1">
      <alignment horizontal="center" vertical="center"/>
    </xf>
    <xf numFmtId="0" fontId="50" fillId="2" borderId="0" xfId="0" applyFont="1" applyFill="1" applyAlignment="1" applyProtection="1">
      <alignment horizontal="center" shrinkToFit="1"/>
      <protection hidden="1"/>
    </xf>
    <xf numFmtId="0" fontId="50" fillId="2" borderId="0" xfId="0" applyFont="1" applyFill="1" applyAlignment="1" applyProtection="1">
      <alignment horizontal="center" vertical="top" shrinkToFit="1"/>
      <protection hidden="1"/>
    </xf>
    <xf numFmtId="0" fontId="11" fillId="2" borderId="0" xfId="0" applyFont="1" applyFill="1" applyAlignment="1" applyProtection="1">
      <alignment vertical="center"/>
      <protection hidden="1"/>
    </xf>
    <xf numFmtId="0" fontId="1" fillId="2" borderId="0" xfId="0" applyFont="1" applyFill="1" applyProtection="1">
      <protection hidden="1"/>
    </xf>
    <xf numFmtId="1" fontId="11" fillId="3" borderId="68" xfId="0" applyNumberFormat="1" applyFont="1" applyFill="1" applyBorder="1" applyAlignment="1" applyProtection="1">
      <alignment horizontal="center" vertical="center" shrinkToFit="1" readingOrder="2"/>
      <protection hidden="1"/>
    </xf>
    <xf numFmtId="3" fontId="56" fillId="3" borderId="47" xfId="0" applyNumberFormat="1" applyFont="1" applyFill="1" applyBorder="1" applyAlignment="1" applyProtection="1">
      <alignment horizontal="center"/>
      <protection hidden="1"/>
    </xf>
    <xf numFmtId="165" fontId="38" fillId="0" borderId="64" xfId="0" applyNumberFormat="1" applyFont="1" applyBorder="1" applyAlignment="1" applyProtection="1">
      <alignment horizontal="center" vertical="center" shrinkToFit="1" readingOrder="1"/>
      <protection hidden="1"/>
    </xf>
    <xf numFmtId="165" fontId="38" fillId="11" borderId="72" xfId="0" applyNumberFormat="1" applyFont="1" applyFill="1" applyBorder="1" applyAlignment="1" applyProtection="1">
      <alignment horizontal="center" vertical="center" shrinkToFit="1" readingOrder="1"/>
      <protection hidden="1"/>
    </xf>
    <xf numFmtId="3" fontId="0" fillId="0" borderId="0" xfId="0" applyNumberFormat="1" applyAlignment="1" applyProtection="1">
      <alignment horizontal="center" vertical="center"/>
      <protection hidden="1"/>
    </xf>
    <xf numFmtId="0" fontId="3" fillId="0" borderId="7" xfId="0" applyFont="1" applyBorder="1" applyAlignment="1" applyProtection="1">
      <alignment horizontal="center" vertical="center" shrinkToFit="1" readingOrder="2"/>
      <protection hidden="1"/>
    </xf>
    <xf numFmtId="3" fontId="11" fillId="0" borderId="7" xfId="0" applyNumberFormat="1" applyFont="1" applyBorder="1" applyAlignment="1" applyProtection="1">
      <alignment horizontal="center" vertical="center" shrinkToFit="1"/>
      <protection locked="0" hidden="1"/>
    </xf>
    <xf numFmtId="1" fontId="0" fillId="0" borderId="0" xfId="0" applyNumberFormat="1"/>
    <xf numFmtId="3" fontId="0" fillId="0" borderId="0" xfId="0" applyNumberFormat="1"/>
    <xf numFmtId="0" fontId="1" fillId="0" borderId="0" xfId="0" applyFont="1" applyAlignment="1" applyProtection="1">
      <alignment vertical="center" shrinkToFit="1"/>
      <protection hidden="1"/>
    </xf>
    <xf numFmtId="0" fontId="3" fillId="27" borderId="7" xfId="0" applyFont="1" applyFill="1" applyBorder="1" applyAlignment="1" applyProtection="1">
      <alignment horizontal="center" vertical="center" shrinkToFit="1" readingOrder="2"/>
      <protection hidden="1"/>
    </xf>
    <xf numFmtId="0" fontId="0" fillId="0" borderId="0" xfId="0" applyAlignment="1">
      <alignment horizontal="center" vertical="center"/>
    </xf>
    <xf numFmtId="1" fontId="0" fillId="0" borderId="0" xfId="0" applyNumberFormat="1" applyAlignment="1">
      <alignment horizontal="center" vertical="center"/>
    </xf>
    <xf numFmtId="1" fontId="57" fillId="0" borderId="67" xfId="0" applyNumberFormat="1" applyFont="1" applyBorder="1" applyAlignment="1" applyProtection="1">
      <alignment horizontal="center" vertical="center" shrinkToFit="1" readingOrder="2"/>
      <protection hidden="1"/>
    </xf>
    <xf numFmtId="3" fontId="57" fillId="0" borderId="66" xfId="0" applyNumberFormat="1" applyFont="1" applyBorder="1" applyAlignment="1" applyProtection="1">
      <alignment horizontal="center" vertical="center" shrinkToFit="1" readingOrder="2"/>
      <protection hidden="1"/>
    </xf>
    <xf numFmtId="1" fontId="57" fillId="8" borderId="68" xfId="0" applyNumberFormat="1" applyFont="1" applyFill="1" applyBorder="1" applyAlignment="1" applyProtection="1">
      <alignment horizontal="center" vertical="center" shrinkToFit="1" readingOrder="2"/>
      <protection hidden="1"/>
    </xf>
    <xf numFmtId="3" fontId="57" fillId="8" borderId="64" xfId="0" applyNumberFormat="1" applyFont="1" applyFill="1" applyBorder="1" applyAlignment="1" applyProtection="1">
      <alignment horizontal="center" vertical="center" shrinkToFit="1" readingOrder="2"/>
      <protection hidden="1"/>
    </xf>
    <xf numFmtId="1" fontId="57" fillId="0" borderId="70" xfId="0" applyNumberFormat="1" applyFont="1" applyBorder="1" applyAlignment="1" applyProtection="1">
      <alignment horizontal="center" vertical="center" shrinkToFit="1" readingOrder="2"/>
      <protection hidden="1"/>
    </xf>
    <xf numFmtId="3" fontId="57" fillId="0" borderId="29" xfId="0" applyNumberFormat="1" applyFont="1" applyBorder="1" applyAlignment="1" applyProtection="1">
      <alignment horizontal="center" vertical="center" shrinkToFit="1" readingOrder="2"/>
      <protection hidden="1"/>
    </xf>
    <xf numFmtId="1" fontId="57" fillId="0" borderId="68" xfId="0" applyNumberFormat="1" applyFont="1" applyBorder="1" applyAlignment="1" applyProtection="1">
      <alignment horizontal="center" vertical="center" shrinkToFit="1" readingOrder="2"/>
      <protection hidden="1"/>
    </xf>
    <xf numFmtId="3" fontId="57" fillId="0" borderId="64" xfId="0" applyNumberFormat="1" applyFont="1" applyBorder="1" applyAlignment="1" applyProtection="1">
      <alignment horizontal="center" vertical="center" shrinkToFit="1" readingOrder="2"/>
      <protection hidden="1"/>
    </xf>
    <xf numFmtId="1" fontId="57" fillId="0" borderId="69" xfId="0" applyNumberFormat="1" applyFont="1" applyBorder="1" applyAlignment="1" applyProtection="1">
      <alignment horizontal="center" vertical="center" shrinkToFit="1" readingOrder="2"/>
      <protection hidden="1"/>
    </xf>
    <xf numFmtId="3" fontId="57" fillId="0" borderId="26" xfId="0" applyNumberFormat="1" applyFont="1" applyBorder="1" applyAlignment="1" applyProtection="1">
      <alignment horizontal="center" vertical="center" shrinkToFit="1" readingOrder="2"/>
      <protection hidden="1"/>
    </xf>
    <xf numFmtId="3" fontId="57" fillId="0" borderId="73" xfId="0" applyNumberFormat="1" applyFont="1" applyBorder="1" applyAlignment="1" applyProtection="1">
      <alignment horizontal="center" vertical="center" shrinkToFit="1" readingOrder="1"/>
      <protection hidden="1"/>
    </xf>
    <xf numFmtId="3" fontId="59" fillId="0" borderId="73" xfId="0" applyNumberFormat="1" applyFont="1" applyBorder="1" applyAlignment="1" applyProtection="1">
      <alignment horizontal="center" vertical="center" shrinkToFit="1" readingOrder="1"/>
      <protection hidden="1"/>
    </xf>
    <xf numFmtId="165" fontId="57" fillId="0" borderId="66" xfId="0" applyNumberFormat="1" applyFont="1" applyBorder="1" applyAlignment="1" applyProtection="1">
      <alignment horizontal="center" vertical="center" shrinkToFit="1" readingOrder="1"/>
      <protection hidden="1"/>
    </xf>
    <xf numFmtId="3" fontId="57" fillId="11" borderId="74" xfId="0" applyNumberFormat="1" applyFont="1" applyFill="1" applyBorder="1" applyAlignment="1" applyProtection="1">
      <alignment horizontal="center" vertical="center" shrinkToFit="1" readingOrder="1"/>
      <protection hidden="1"/>
    </xf>
    <xf numFmtId="165" fontId="57" fillId="11" borderId="64" xfId="0" applyNumberFormat="1" applyFont="1" applyFill="1" applyBorder="1" applyAlignment="1" applyProtection="1">
      <alignment horizontal="center" vertical="center" shrinkToFit="1" readingOrder="1"/>
      <protection hidden="1"/>
    </xf>
    <xf numFmtId="3" fontId="57" fillId="0" borderId="74" xfId="0" applyNumberFormat="1" applyFont="1" applyBorder="1" applyAlignment="1" applyProtection="1">
      <alignment horizontal="center" vertical="center" shrinkToFit="1" readingOrder="1"/>
      <protection hidden="1"/>
    </xf>
    <xf numFmtId="165" fontId="57" fillId="0" borderId="64" xfId="0" applyNumberFormat="1" applyFont="1" applyBorder="1" applyAlignment="1" applyProtection="1">
      <alignment horizontal="center" vertical="center" shrinkToFit="1" readingOrder="1"/>
      <protection hidden="1"/>
    </xf>
    <xf numFmtId="0" fontId="3" fillId="28" borderId="82" xfId="0" applyFont="1" applyFill="1" applyBorder="1" applyAlignment="1" applyProtection="1">
      <alignment horizontal="center" vertical="center" shrinkToFit="1" readingOrder="2"/>
      <protection hidden="1"/>
    </xf>
    <xf numFmtId="1" fontId="1" fillId="29" borderId="83" xfId="0" applyNumberFormat="1" applyFont="1" applyFill="1" applyBorder="1" applyAlignment="1" applyProtection="1">
      <alignment horizontal="center" vertical="center" shrinkToFit="1" readingOrder="2"/>
      <protection locked="0" hidden="1"/>
    </xf>
    <xf numFmtId="0" fontId="3" fillId="28" borderId="84" xfId="0" applyFont="1" applyFill="1" applyBorder="1" applyAlignment="1" applyProtection="1">
      <alignment horizontal="center" vertical="center" shrinkToFit="1" readingOrder="2"/>
      <protection hidden="1"/>
    </xf>
    <xf numFmtId="1" fontId="1" fillId="29" borderId="85" xfId="0" applyNumberFormat="1" applyFont="1" applyFill="1" applyBorder="1" applyAlignment="1" applyProtection="1">
      <alignment horizontal="center" vertical="center" shrinkToFit="1" readingOrder="2"/>
      <protection locked="0" hidden="1"/>
    </xf>
    <xf numFmtId="0" fontId="3" fillId="28" borderId="86" xfId="0" applyFont="1" applyFill="1" applyBorder="1" applyAlignment="1" applyProtection="1">
      <alignment horizontal="center" vertical="center" shrinkToFit="1" readingOrder="2"/>
      <protection hidden="1"/>
    </xf>
    <xf numFmtId="164" fontId="1" fillId="29" borderId="87" xfId="0" applyNumberFormat="1" applyFont="1" applyFill="1" applyBorder="1" applyAlignment="1" applyProtection="1">
      <alignment horizontal="center" vertical="center" shrinkToFit="1" readingOrder="2"/>
      <protection locked="0" hidden="1"/>
    </xf>
    <xf numFmtId="0" fontId="53" fillId="26" borderId="88" xfId="0" applyFont="1" applyFill="1" applyBorder="1" applyAlignment="1" applyProtection="1">
      <alignment horizontal="center" shrinkToFit="1"/>
      <protection hidden="1"/>
    </xf>
    <xf numFmtId="0" fontId="53" fillId="26" borderId="89" xfId="0" applyFont="1" applyFill="1" applyBorder="1" applyAlignment="1" applyProtection="1">
      <alignment horizontal="center" shrinkToFit="1"/>
      <protection hidden="1"/>
    </xf>
    <xf numFmtId="0" fontId="3" fillId="27" borderId="90" xfId="0" applyFont="1" applyFill="1" applyBorder="1" applyAlignment="1" applyProtection="1">
      <alignment horizontal="center" vertical="center" shrinkToFit="1" readingOrder="2"/>
      <protection hidden="1"/>
    </xf>
    <xf numFmtId="3" fontId="11" fillId="11" borderId="91" xfId="0" applyNumberFormat="1" applyFont="1" applyFill="1" applyBorder="1" applyAlignment="1" applyProtection="1">
      <alignment horizontal="center" vertical="center" shrinkToFit="1"/>
      <protection locked="0" hidden="1"/>
    </xf>
    <xf numFmtId="0" fontId="3" fillId="27" borderId="92" xfId="0" applyFont="1" applyFill="1" applyBorder="1" applyAlignment="1" applyProtection="1">
      <alignment horizontal="center" vertical="center" shrinkToFit="1" readingOrder="2"/>
      <protection hidden="1"/>
    </xf>
    <xf numFmtId="3" fontId="11" fillId="11" borderId="93" xfId="0" applyNumberFormat="1" applyFont="1" applyFill="1" applyBorder="1" applyAlignment="1" applyProtection="1">
      <alignment horizontal="center" vertical="center" shrinkToFit="1"/>
      <protection locked="0" hidden="1"/>
    </xf>
    <xf numFmtId="0" fontId="3" fillId="27" borderId="94" xfId="0" applyFont="1" applyFill="1" applyBorder="1" applyAlignment="1" applyProtection="1">
      <alignment horizontal="center" vertical="center" shrinkToFit="1" readingOrder="2"/>
      <protection hidden="1"/>
    </xf>
    <xf numFmtId="3" fontId="11" fillId="11" borderId="95" xfId="0" applyNumberFormat="1" applyFont="1" applyFill="1" applyBorder="1" applyAlignment="1" applyProtection="1">
      <alignment horizontal="center" vertical="center" shrinkToFit="1"/>
      <protection locked="0" hidden="1"/>
    </xf>
    <xf numFmtId="164" fontId="11" fillId="11" borderId="91" xfId="0" applyNumberFormat="1" applyFont="1" applyFill="1" applyBorder="1" applyAlignment="1" applyProtection="1">
      <alignment horizontal="center" vertical="center" shrinkToFit="1"/>
      <protection locked="0" hidden="1"/>
    </xf>
    <xf numFmtId="164" fontId="11" fillId="11" borderId="93" xfId="0" applyNumberFormat="1" applyFont="1" applyFill="1" applyBorder="1" applyAlignment="1" applyProtection="1">
      <alignment horizontal="center" vertical="center" shrinkToFit="1"/>
      <protection locked="0" hidden="1"/>
    </xf>
    <xf numFmtId="164" fontId="11" fillId="11" borderId="95" xfId="0" applyNumberFormat="1" applyFont="1" applyFill="1" applyBorder="1" applyAlignment="1" applyProtection="1">
      <alignment horizontal="center" vertical="center" shrinkToFit="1"/>
      <protection locked="0" hidden="1"/>
    </xf>
    <xf numFmtId="0" fontId="3" fillId="27" borderId="96" xfId="0" applyFont="1" applyFill="1" applyBorder="1" applyAlignment="1" applyProtection="1">
      <alignment horizontal="center" vertical="center" shrinkToFit="1" readingOrder="2"/>
      <protection hidden="1"/>
    </xf>
    <xf numFmtId="164" fontId="11" fillId="11" borderId="97" xfId="0" applyNumberFormat="1" applyFont="1" applyFill="1" applyBorder="1" applyAlignment="1" applyProtection="1">
      <alignment horizontal="center" vertical="center" shrinkToFit="1"/>
      <protection locked="0" hidden="1"/>
    </xf>
    <xf numFmtId="0" fontId="3" fillId="7" borderId="98" xfId="0" applyFont="1" applyFill="1" applyBorder="1" applyAlignment="1" applyProtection="1">
      <alignment horizontal="center" vertical="center" shrinkToFit="1" readingOrder="2"/>
      <protection hidden="1"/>
    </xf>
    <xf numFmtId="164" fontId="11" fillId="8" borderId="99" xfId="0" applyNumberFormat="1" applyFont="1" applyFill="1" applyBorder="1" applyAlignment="1" applyProtection="1">
      <alignment horizontal="center" vertical="center" shrinkToFit="1" readingOrder="2"/>
      <protection hidden="1"/>
    </xf>
    <xf numFmtId="0" fontId="3" fillId="7" borderId="100" xfId="0" applyFont="1" applyFill="1" applyBorder="1" applyAlignment="1" applyProtection="1">
      <alignment horizontal="center" vertical="center" shrinkToFit="1" readingOrder="2"/>
      <protection hidden="1"/>
    </xf>
    <xf numFmtId="164" fontId="11" fillId="8" borderId="101" xfId="0" applyNumberFormat="1" applyFont="1" applyFill="1" applyBorder="1" applyAlignment="1" applyProtection="1">
      <alignment horizontal="center" vertical="center" shrinkToFit="1" readingOrder="2"/>
      <protection hidden="1"/>
    </xf>
    <xf numFmtId="0" fontId="3" fillId="7" borderId="102" xfId="0" applyFont="1" applyFill="1" applyBorder="1" applyAlignment="1" applyProtection="1">
      <alignment horizontal="center" vertical="center" shrinkToFit="1" readingOrder="2"/>
      <protection hidden="1"/>
    </xf>
    <xf numFmtId="164" fontId="11" fillId="8" borderId="103" xfId="0" applyNumberFormat="1" applyFont="1" applyFill="1" applyBorder="1" applyAlignment="1" applyProtection="1">
      <alignment horizontal="center" vertical="center" shrinkToFit="1" readingOrder="2"/>
      <protection hidden="1"/>
    </xf>
    <xf numFmtId="0" fontId="18" fillId="20" borderId="65" xfId="0" applyFont="1" applyFill="1" applyBorder="1" applyAlignment="1" applyProtection="1">
      <alignment horizontal="center" vertical="center" shrinkToFit="1" readingOrder="2"/>
      <protection hidden="1"/>
    </xf>
    <xf numFmtId="0" fontId="18" fillId="20" borderId="20" xfId="0" applyFont="1" applyFill="1" applyBorder="1" applyAlignment="1" applyProtection="1">
      <alignment horizontal="center" vertical="center" shrinkToFit="1" readingOrder="2"/>
      <protection hidden="1"/>
    </xf>
    <xf numFmtId="1" fontId="58" fillId="20" borderId="65" xfId="0" applyNumberFormat="1" applyFont="1" applyFill="1" applyBorder="1" applyAlignment="1" applyProtection="1">
      <alignment horizontal="center" vertical="center" shrinkToFit="1" readingOrder="2"/>
      <protection hidden="1"/>
    </xf>
    <xf numFmtId="3" fontId="58" fillId="20" borderId="20" xfId="0" applyNumberFormat="1" applyFont="1" applyFill="1" applyBorder="1" applyAlignment="1" applyProtection="1">
      <alignment horizontal="center" vertical="center" shrinkToFit="1" readingOrder="2"/>
      <protection hidden="1"/>
    </xf>
    <xf numFmtId="0" fontId="54" fillId="0" borderId="0" xfId="0" applyFont="1" applyAlignment="1" applyProtection="1">
      <alignment shrinkToFit="1" readingOrder="2"/>
      <protection hidden="1"/>
    </xf>
    <xf numFmtId="0" fontId="48" fillId="0" borderId="0" xfId="0" applyFont="1" applyAlignment="1" applyProtection="1">
      <alignment horizontal="center" shrinkToFit="1"/>
      <protection hidden="1"/>
    </xf>
    <xf numFmtId="0" fontId="20" fillId="0" borderId="0" xfId="0" applyFont="1" applyAlignment="1" applyProtection="1">
      <alignment horizontal="center" vertical="center" shrinkToFit="1"/>
      <protection hidden="1"/>
    </xf>
    <xf numFmtId="0" fontId="34" fillId="0" borderId="0" xfId="0" applyFont="1" applyAlignment="1" applyProtection="1">
      <alignment horizontal="center" vertical="center" wrapText="1" shrinkToFit="1"/>
      <protection hidden="1"/>
    </xf>
    <xf numFmtId="0" fontId="34" fillId="0" borderId="0" xfId="0" applyFont="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62" fillId="2" borderId="0" xfId="1" applyFont="1" applyFill="1" applyAlignment="1" applyProtection="1">
      <alignment horizontal="left" vertical="center" shrinkToFit="1"/>
      <protection hidden="1"/>
    </xf>
    <xf numFmtId="0" fontId="61" fillId="2" borderId="0" xfId="1" applyFont="1" applyFill="1" applyAlignment="1" applyProtection="1">
      <alignment horizontal="center" vertical="top" shrinkToFit="1"/>
      <protection hidden="1"/>
    </xf>
    <xf numFmtId="0" fontId="60" fillId="2" borderId="0" xfId="1" applyFont="1" applyFill="1" applyAlignment="1" applyProtection="1">
      <alignment horizontal="center" vertical="top" shrinkToFit="1"/>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46" fillId="2" borderId="0" xfId="0" applyFont="1" applyFill="1" applyAlignment="1" applyProtection="1">
      <alignment horizontal="right" vertical="center" shrinkToFit="1" readingOrder="2"/>
      <protection hidden="1"/>
    </xf>
    <xf numFmtId="0" fontId="12" fillId="6" borderId="7" xfId="0" applyFont="1" applyFill="1" applyBorder="1" applyAlignment="1" applyProtection="1">
      <alignment horizontal="center" vertical="center" shrinkToFit="1" readingOrder="2"/>
      <protection hidden="1"/>
    </xf>
    <xf numFmtId="0" fontId="1" fillId="0" borderId="76" xfId="0" applyFont="1" applyBorder="1" applyAlignment="1" applyProtection="1">
      <alignment horizontal="center" vertical="center" shrinkToFit="1" readingOrder="2"/>
      <protection hidden="1"/>
    </xf>
    <xf numFmtId="0" fontId="1" fillId="0" borderId="79" xfId="0" applyFont="1" applyBorder="1" applyAlignment="1" applyProtection="1">
      <alignment horizontal="center" vertical="center" shrinkToFit="1" readingOrder="2"/>
      <protection hidden="1"/>
    </xf>
    <xf numFmtId="0" fontId="1" fillId="0" borderId="74" xfId="0" applyFont="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12" fillId="0" borderId="77" xfId="0" applyFont="1" applyBorder="1" applyAlignment="1" applyProtection="1">
      <alignment horizontal="right" vertical="center" shrinkToFit="1" readingOrder="2"/>
      <protection hidden="1"/>
    </xf>
    <xf numFmtId="0" fontId="12" fillId="0" borderId="80" xfId="0" applyFont="1" applyBorder="1" applyAlignment="1" applyProtection="1">
      <alignment horizontal="right" vertical="center" shrinkToFit="1" readingOrder="2"/>
      <protection hidden="1"/>
    </xf>
    <xf numFmtId="0" fontId="12" fillId="0" borderId="72" xfId="0" applyFont="1" applyBorder="1" applyAlignment="1" applyProtection="1">
      <alignment horizontal="right" vertical="center" shrinkToFit="1" readingOrder="2"/>
      <protection hidden="1"/>
    </xf>
    <xf numFmtId="0" fontId="18" fillId="20" borderId="7" xfId="0" applyFont="1" applyFill="1" applyBorder="1" applyAlignment="1" applyProtection="1">
      <alignment horizontal="center" vertical="center" wrapText="1" shrinkToFit="1"/>
      <protection hidden="1"/>
    </xf>
    <xf numFmtId="0" fontId="18" fillId="20" borderId="7" xfId="0" applyFont="1" applyFill="1" applyBorder="1" applyAlignment="1" applyProtection="1">
      <alignment horizontal="center" vertical="center" shrinkToFit="1"/>
      <protection hidden="1"/>
    </xf>
    <xf numFmtId="0" fontId="18" fillId="20" borderId="23" xfId="0" applyFont="1" applyFill="1" applyBorder="1" applyAlignment="1" applyProtection="1">
      <alignment horizontal="center" vertical="center" shrinkToFit="1" readingOrder="2"/>
      <protection hidden="1"/>
    </xf>
    <xf numFmtId="0" fontId="18" fillId="20" borderId="24" xfId="0" applyFont="1" applyFill="1" applyBorder="1" applyAlignment="1" applyProtection="1">
      <alignment horizontal="center" vertical="center" shrinkToFit="1" readingOrder="2"/>
      <protection hidden="1"/>
    </xf>
    <xf numFmtId="0" fontId="18" fillId="20" borderId="27" xfId="0" applyFont="1" applyFill="1" applyBorder="1" applyAlignment="1" applyProtection="1">
      <alignment horizontal="center" vertical="center" shrinkToFit="1" readingOrder="2"/>
      <protection hidden="1"/>
    </xf>
    <xf numFmtId="0" fontId="18" fillId="20" borderId="30" xfId="0" applyFont="1" applyFill="1" applyBorder="1" applyAlignment="1" applyProtection="1">
      <alignment horizontal="center" vertical="center" shrinkToFit="1" readingOrder="2"/>
      <protection hidden="1"/>
    </xf>
    <xf numFmtId="0" fontId="18" fillId="20" borderId="25" xfId="0" applyFont="1" applyFill="1" applyBorder="1" applyAlignment="1" applyProtection="1">
      <alignment horizontal="center" vertical="center" shrinkToFit="1" readingOrder="2"/>
      <protection hidden="1"/>
    </xf>
    <xf numFmtId="0" fontId="18" fillId="20" borderId="26"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center" vertical="center" shrinkToFit="1" readingOrder="2"/>
      <protection hidden="1"/>
    </xf>
    <xf numFmtId="0" fontId="12" fillId="0" borderId="66" xfId="0" applyFont="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Border="1" applyAlignment="1" applyProtection="1">
      <alignment horizontal="center" vertical="center" shrinkToFit="1" readingOrder="2"/>
      <protection hidden="1"/>
    </xf>
    <xf numFmtId="0" fontId="12" fillId="0" borderId="72" xfId="0" applyFont="1" applyBorder="1" applyAlignment="1" applyProtection="1">
      <alignment horizontal="center" vertical="center" shrinkToFit="1" readingOrder="2"/>
      <protection hidden="1"/>
    </xf>
    <xf numFmtId="0" fontId="12" fillId="20" borderId="19" xfId="0" applyFont="1" applyFill="1" applyBorder="1" applyAlignment="1" applyProtection="1">
      <alignment horizontal="center" vertical="center" shrinkToFit="1" readingOrder="2"/>
      <protection hidden="1"/>
    </xf>
    <xf numFmtId="0" fontId="12" fillId="20" borderId="20"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right" vertical="center" shrinkToFit="1" readingOrder="2"/>
      <protection hidden="1"/>
    </xf>
    <xf numFmtId="0" fontId="12" fillId="0" borderId="78" xfId="0" applyFont="1" applyBorder="1" applyAlignment="1" applyProtection="1">
      <alignment horizontal="right" vertical="center" shrinkToFit="1" readingOrder="2"/>
      <protection hidden="1"/>
    </xf>
    <xf numFmtId="0" fontId="12" fillId="0" borderId="66" xfId="0" applyFont="1" applyBorder="1" applyAlignment="1" applyProtection="1">
      <alignment horizontal="right" vertical="center" shrinkToFit="1" readingOrder="2"/>
      <protection hidden="1"/>
    </xf>
    <xf numFmtId="0" fontId="12" fillId="0" borderId="76" xfId="0" applyFont="1" applyBorder="1" applyAlignment="1" applyProtection="1">
      <alignment horizontal="right" vertical="center" shrinkToFit="1" readingOrder="2"/>
      <protection hidden="1"/>
    </xf>
    <xf numFmtId="0" fontId="12" fillId="0" borderId="79" xfId="0" applyFont="1" applyBorder="1" applyAlignment="1" applyProtection="1">
      <alignment horizontal="right" vertical="center" shrinkToFit="1" readingOrder="2"/>
      <protection hidden="1"/>
    </xf>
    <xf numFmtId="0" fontId="12" fillId="0" borderId="64" xfId="0" applyFont="1" applyBorder="1" applyAlignment="1" applyProtection="1">
      <alignment horizontal="right" vertical="center" shrinkToFit="1" readingOrder="2"/>
      <protection hidden="1"/>
    </xf>
    <xf numFmtId="0" fontId="11" fillId="2" borderId="25" xfId="0" applyFont="1" applyFill="1" applyBorder="1" applyAlignment="1" applyProtection="1">
      <alignment horizontal="center" vertical="center"/>
      <protection hidden="1"/>
    </xf>
    <xf numFmtId="0" fontId="46" fillId="0" borderId="0" xfId="0" applyFont="1" applyAlignment="1" applyProtection="1">
      <alignment horizontal="right" vertical="center" shrinkToFit="1" readingOrder="2"/>
      <protection hidden="1"/>
    </xf>
    <xf numFmtId="0" fontId="12" fillId="0" borderId="23" xfId="0" applyFont="1" applyBorder="1" applyAlignment="1" applyProtection="1">
      <alignment horizontal="center" vertical="center" shrinkToFit="1" readingOrder="2"/>
      <protection hidden="1"/>
    </xf>
    <xf numFmtId="0" fontId="12" fillId="0" borderId="27" xfId="0" applyFont="1" applyBorder="1" applyAlignment="1" applyProtection="1">
      <alignment horizontal="center" vertical="center" shrinkToFit="1" readingOrder="2"/>
      <protection hidden="1"/>
    </xf>
    <xf numFmtId="0" fontId="12" fillId="0" borderId="28" xfId="0" applyFont="1" applyBorder="1" applyAlignment="1" applyProtection="1">
      <alignment horizontal="center" vertical="center" shrinkToFit="1" readingOrder="2"/>
      <protection hidden="1"/>
    </xf>
    <xf numFmtId="0" fontId="12" fillId="0" borderId="29" xfId="0" applyFont="1" applyBorder="1" applyAlignment="1" applyProtection="1">
      <alignment horizontal="center" vertical="center" shrinkToFit="1" readingOrder="2"/>
      <protection hidden="1"/>
    </xf>
    <xf numFmtId="0" fontId="12" fillId="0" borderId="30" xfId="0" applyFont="1" applyBorder="1" applyAlignment="1" applyProtection="1">
      <alignment horizontal="center" vertical="center" shrinkToFit="1" readingOrder="2"/>
      <protection hidden="1"/>
    </xf>
    <xf numFmtId="0" fontId="12" fillId="0" borderId="26" xfId="0" applyFont="1" applyBorder="1" applyAlignment="1" applyProtection="1">
      <alignment horizontal="center" vertical="center" shrinkToFit="1" readingOrder="2"/>
      <protection hidden="1"/>
    </xf>
    <xf numFmtId="0" fontId="11" fillId="20" borderId="19" xfId="0" applyFont="1" applyFill="1" applyBorder="1" applyAlignment="1" applyProtection="1">
      <alignment horizontal="center" vertical="center" shrinkToFit="1" readingOrder="2"/>
      <protection hidden="1"/>
    </xf>
    <xf numFmtId="0" fontId="11" fillId="20" borderId="22" xfId="0" applyFont="1" applyFill="1" applyBorder="1" applyAlignment="1" applyProtection="1">
      <alignment horizontal="center" vertical="center" shrinkToFit="1" readingOrder="2"/>
      <protection hidden="1"/>
    </xf>
    <xf numFmtId="0" fontId="11" fillId="20"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Border="1" applyAlignment="1" applyProtection="1">
      <alignment horizontal="center" vertical="center" shrinkToFit="1" readingOrder="2"/>
      <protection hidden="1"/>
    </xf>
    <xf numFmtId="0" fontId="1" fillId="0" borderId="78" xfId="0" applyFont="1" applyBorder="1" applyAlignment="1" applyProtection="1">
      <alignment horizontal="center" vertical="center" shrinkToFit="1" readingOrder="2"/>
      <protection hidden="1"/>
    </xf>
    <xf numFmtId="0" fontId="1" fillId="0" borderId="73" xfId="0" applyFont="1" applyBorder="1" applyAlignment="1" applyProtection="1">
      <alignment horizontal="center" vertical="center" shrinkToFit="1" readingOrder="2"/>
      <protection hidden="1"/>
    </xf>
    <xf numFmtId="0" fontId="21" fillId="0" borderId="57"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0" borderId="57"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49" fillId="24" borderId="63" xfId="0" applyFont="1" applyFill="1" applyBorder="1" applyAlignment="1" applyProtection="1">
      <alignment horizontal="center" vertical="center" shrinkToFit="1"/>
      <protection hidden="1"/>
    </xf>
    <xf numFmtId="0" fontId="19" fillId="15" borderId="0" xfId="0" applyFont="1" applyFill="1" applyAlignment="1" applyProtection="1">
      <alignment horizontal="center" shrinkToFit="1"/>
      <protection hidden="1"/>
    </xf>
    <xf numFmtId="0" fontId="19" fillId="15" borderId="0" xfId="0" applyFont="1" applyFill="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5" fillId="22" borderId="1" xfId="0" applyFont="1" applyFill="1" applyBorder="1" applyAlignment="1" applyProtection="1">
      <alignment horizontal="center" vertical="center" wrapText="1" shrinkToFit="1"/>
      <protection hidden="1"/>
    </xf>
    <xf numFmtId="0" fontId="35" fillId="22" borderId="2" xfId="0" applyFont="1" applyFill="1" applyBorder="1" applyAlignment="1" applyProtection="1">
      <alignment horizontal="center" vertical="center" shrinkToFit="1"/>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6" fillId="2" borderId="0" xfId="0" applyFont="1" applyFill="1" applyAlignment="1" applyProtection="1">
      <alignment horizontal="center" readingOrder="2"/>
      <protection hidden="1"/>
    </xf>
    <xf numFmtId="0" fontId="38"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0"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1" fillId="2" borderId="0" xfId="0" applyFont="1" applyFill="1" applyAlignment="1" applyProtection="1">
      <alignment horizontal="center" vertical="center" shrinkToFit="1" readingOrder="2"/>
      <protection hidden="1"/>
    </xf>
    <xf numFmtId="0" fontId="42" fillId="2" borderId="0" xfId="0" applyFont="1" applyFill="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37</xdr:row>
      <xdr:rowOff>190499</xdr:rowOff>
    </xdr:from>
    <xdr:to>
      <xdr:col>1</xdr:col>
      <xdr:colOff>1255659</xdr:colOff>
      <xdr:row>41</xdr:row>
      <xdr:rowOff>56504</xdr:rowOff>
    </xdr:to>
    <xdr:pic>
      <xdr:nvPicPr>
        <xdr:cNvPr id="2" name="Picture 1">
          <a:extLst>
            <a:ext uri="{FF2B5EF4-FFF2-40B4-BE49-F238E27FC236}">
              <a16:creationId xmlns:a16="http://schemas.microsoft.com/office/drawing/2014/main" id="{E0BEE2A3-1C3C-413B-A712-E910D543FF6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19679946">
          <a:off x="9835268991" y="9705974"/>
          <a:ext cx="1027059" cy="932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36</xdr:row>
      <xdr:rowOff>161926</xdr:rowOff>
    </xdr:from>
    <xdr:to>
      <xdr:col>1</xdr:col>
      <xdr:colOff>1246134</xdr:colOff>
      <xdr:row>40</xdr:row>
      <xdr:rowOff>27931</xdr:rowOff>
    </xdr:to>
    <xdr:pic>
      <xdr:nvPicPr>
        <xdr:cNvPr id="2" name="Picture 1">
          <a:extLst>
            <a:ext uri="{FF2B5EF4-FFF2-40B4-BE49-F238E27FC236}">
              <a16:creationId xmlns:a16="http://schemas.microsoft.com/office/drawing/2014/main" id="{2A313E17-E2EE-4CEF-A759-CE9ECA790B7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19679946">
          <a:off x="9839088516" y="9410701"/>
          <a:ext cx="1027059" cy="9328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stagram.com/shenasna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henasname.i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B1:G46"/>
  <sheetViews>
    <sheetView showGridLines="0" showRowColHeaders="0" rightToLeft="1" tabSelected="1" topLeftCell="A17" zoomScaleNormal="100" workbookViewId="0">
      <selection activeCell="E24" sqref="E24"/>
    </sheetView>
  </sheetViews>
  <sheetFormatPr defaultColWidth="9" defaultRowHeight="18"/>
  <cols>
    <col min="1" max="1" width="3.7109375" style="51" customWidth="1"/>
    <col min="2" max="2" width="52.42578125" style="79" customWidth="1"/>
    <col min="3" max="3" width="15.7109375" style="79" customWidth="1"/>
    <col min="4" max="4" width="5.140625" style="79" customWidth="1"/>
    <col min="5" max="5" width="50.7109375" style="79" customWidth="1"/>
    <col min="6" max="6" width="15.7109375" style="79" customWidth="1"/>
    <col min="7" max="7" width="9" style="51"/>
    <col min="8" max="8" width="35.28515625" style="51" customWidth="1"/>
    <col min="9" max="9" width="39.140625" style="51" customWidth="1"/>
    <col min="10" max="20" width="59" style="51" customWidth="1"/>
    <col min="21" max="16384" width="9" style="51"/>
  </cols>
  <sheetData>
    <row r="1" spans="2:7" ht="27.75" customHeight="1">
      <c r="B1" s="304" t="s">
        <v>257</v>
      </c>
      <c r="C1" s="304"/>
      <c r="D1" s="304"/>
      <c r="E1" s="304"/>
      <c r="F1" s="304"/>
      <c r="G1" s="188"/>
    </row>
    <row r="2" spans="2:7" ht="43.5" customHeight="1">
      <c r="B2" s="305" t="s">
        <v>267</v>
      </c>
      <c r="C2" s="306"/>
      <c r="D2" s="306"/>
      <c r="E2" s="306"/>
      <c r="F2" s="306"/>
      <c r="G2" s="188"/>
    </row>
    <row r="3" spans="2:7" ht="27" customHeight="1">
      <c r="B3" s="307" t="s">
        <v>260</v>
      </c>
      <c r="C3" s="307"/>
      <c r="D3" s="307"/>
      <c r="E3" s="307"/>
      <c r="F3" s="307"/>
      <c r="G3" s="188"/>
    </row>
    <row r="4" spans="2:7" ht="27" customHeight="1">
      <c r="B4" s="303" t="s">
        <v>258</v>
      </c>
      <c r="C4" s="303"/>
      <c r="D4" s="184"/>
      <c r="E4" s="303" t="s">
        <v>259</v>
      </c>
      <c r="F4" s="303"/>
      <c r="G4" s="188"/>
    </row>
    <row r="5" spans="2:7" ht="27" customHeight="1">
      <c r="B5" s="279" t="s">
        <v>14</v>
      </c>
      <c r="C5" s="280" t="s">
        <v>0</v>
      </c>
      <c r="D5" s="184"/>
      <c r="E5" s="279" t="s">
        <v>14</v>
      </c>
      <c r="F5" s="280" t="s">
        <v>1</v>
      </c>
      <c r="G5" s="188"/>
    </row>
    <row r="6" spans="2:7" ht="27" customHeight="1" thickBot="1">
      <c r="B6" s="281" t="s">
        <v>177</v>
      </c>
      <c r="C6" s="287"/>
      <c r="D6" s="184"/>
      <c r="E6" s="281" t="s">
        <v>187</v>
      </c>
      <c r="F6" s="282">
        <v>0</v>
      </c>
      <c r="G6" s="188"/>
    </row>
    <row r="7" spans="2:7" ht="27" customHeight="1" thickBot="1">
      <c r="B7" s="283" t="s">
        <v>178</v>
      </c>
      <c r="C7" s="288">
        <v>0</v>
      </c>
      <c r="D7" s="184"/>
      <c r="E7" s="283" t="s">
        <v>188</v>
      </c>
      <c r="F7" s="284">
        <v>0</v>
      </c>
      <c r="G7" s="188"/>
    </row>
    <row r="8" spans="2:7" ht="27" customHeight="1" thickBot="1">
      <c r="B8" s="283" t="s">
        <v>179</v>
      </c>
      <c r="C8" s="288">
        <v>0</v>
      </c>
      <c r="D8" s="184"/>
      <c r="E8" s="283" t="s">
        <v>189</v>
      </c>
      <c r="F8" s="284">
        <v>0</v>
      </c>
      <c r="G8" s="188"/>
    </row>
    <row r="9" spans="2:7" ht="27" customHeight="1" thickBot="1">
      <c r="B9" s="283" t="s">
        <v>180</v>
      </c>
      <c r="C9" s="288">
        <v>0</v>
      </c>
      <c r="D9" s="184"/>
      <c r="E9" s="283" t="s">
        <v>190</v>
      </c>
      <c r="F9" s="284">
        <v>0</v>
      </c>
      <c r="G9" s="188"/>
    </row>
    <row r="10" spans="2:7" ht="27" customHeight="1" thickBot="1">
      <c r="B10" s="283" t="s">
        <v>181</v>
      </c>
      <c r="C10" s="288">
        <v>0</v>
      </c>
      <c r="D10" s="184"/>
      <c r="E10" s="283" t="s">
        <v>223</v>
      </c>
      <c r="F10" s="284">
        <v>0</v>
      </c>
      <c r="G10" s="188"/>
    </row>
    <row r="11" spans="2:7" ht="27" customHeight="1" thickBot="1">
      <c r="B11" s="283" t="s">
        <v>182</v>
      </c>
      <c r="C11" s="288">
        <v>0</v>
      </c>
      <c r="D11" s="184"/>
      <c r="E11" s="283" t="s">
        <v>191</v>
      </c>
      <c r="F11" s="284">
        <v>0</v>
      </c>
      <c r="G11" s="188"/>
    </row>
    <row r="12" spans="2:7" ht="27" customHeight="1" thickBot="1">
      <c r="B12" s="283" t="s">
        <v>183</v>
      </c>
      <c r="C12" s="288">
        <v>0</v>
      </c>
      <c r="D12" s="184"/>
      <c r="E12" s="283" t="s">
        <v>192</v>
      </c>
      <c r="F12" s="284">
        <v>0</v>
      </c>
      <c r="G12" s="188"/>
    </row>
    <row r="13" spans="2:7" ht="27" customHeight="1" thickBot="1">
      <c r="B13" s="283" t="s">
        <v>184</v>
      </c>
      <c r="C13" s="288">
        <v>0</v>
      </c>
      <c r="D13" s="184"/>
      <c r="E13" s="283" t="s">
        <v>193</v>
      </c>
      <c r="F13" s="284">
        <v>0</v>
      </c>
      <c r="G13" s="188"/>
    </row>
    <row r="14" spans="2:7" ht="27" customHeight="1">
      <c r="B14" s="285" t="s">
        <v>279</v>
      </c>
      <c r="C14" s="289">
        <v>0</v>
      </c>
      <c r="D14" s="184"/>
      <c r="E14" s="285" t="s">
        <v>194</v>
      </c>
      <c r="F14" s="286">
        <v>0</v>
      </c>
      <c r="G14" s="188"/>
    </row>
    <row r="15" spans="2:7" ht="27" customHeight="1">
      <c r="B15" s="303" t="s">
        <v>283</v>
      </c>
      <c r="C15" s="303"/>
      <c r="D15" s="184"/>
      <c r="E15" s="303" t="s">
        <v>73</v>
      </c>
      <c r="F15" s="303"/>
      <c r="G15" s="188"/>
    </row>
    <row r="16" spans="2:7" ht="27" customHeight="1" thickBot="1">
      <c r="B16" s="281" t="s">
        <v>285</v>
      </c>
      <c r="C16" s="287" t="s">
        <v>13</v>
      </c>
      <c r="D16" s="184"/>
      <c r="E16" s="292" t="s">
        <v>252</v>
      </c>
      <c r="F16" s="293" t="s">
        <v>75</v>
      </c>
      <c r="G16" s="188"/>
    </row>
    <row r="17" spans="2:7" ht="27" customHeight="1" thickBot="1">
      <c r="B17" s="285" t="s">
        <v>269</v>
      </c>
      <c r="C17" s="289">
        <v>0</v>
      </c>
      <c r="D17" s="184"/>
      <c r="E17" s="294" t="s">
        <v>74</v>
      </c>
      <c r="F17" s="295" t="s">
        <v>75</v>
      </c>
      <c r="G17" s="188"/>
    </row>
    <row r="18" spans="2:7" ht="27" customHeight="1">
      <c r="B18" s="303" t="s">
        <v>248</v>
      </c>
      <c r="C18" s="303"/>
      <c r="D18" s="184"/>
      <c r="E18" s="296" t="s">
        <v>266</v>
      </c>
      <c r="F18" s="297" t="s">
        <v>75</v>
      </c>
      <c r="G18" s="188"/>
    </row>
    <row r="19" spans="2:7" ht="27" customHeight="1">
      <c r="B19" s="290" t="s">
        <v>268</v>
      </c>
      <c r="C19" s="291">
        <v>0</v>
      </c>
      <c r="D19" s="184"/>
      <c r="E19" s="308" t="s">
        <v>286</v>
      </c>
      <c r="F19" s="308"/>
      <c r="G19" s="188"/>
    </row>
    <row r="20" spans="2:7" ht="27" customHeight="1">
      <c r="B20" s="303" t="s">
        <v>199</v>
      </c>
      <c r="C20" s="303"/>
      <c r="D20" s="184"/>
      <c r="G20" s="188"/>
    </row>
    <row r="21" spans="2:7" ht="27" customHeight="1">
      <c r="B21" s="290" t="s">
        <v>237</v>
      </c>
      <c r="C21" s="291" t="s">
        <v>13</v>
      </c>
      <c r="D21" s="184"/>
      <c r="E21" s="309"/>
      <c r="F21" s="310"/>
      <c r="G21" s="188"/>
    </row>
    <row r="22" spans="2:7" ht="27" customHeight="1">
      <c r="B22" s="303" t="s">
        <v>278</v>
      </c>
      <c r="C22" s="303"/>
      <c r="D22" s="185"/>
      <c r="G22" s="188"/>
    </row>
    <row r="23" spans="2:7" ht="27" customHeight="1">
      <c r="B23" s="273" t="s">
        <v>238</v>
      </c>
      <c r="C23" s="274" t="s">
        <v>12</v>
      </c>
    </row>
    <row r="24" spans="2:7" ht="27" customHeight="1">
      <c r="B24" s="275" t="s">
        <v>29</v>
      </c>
      <c r="C24" s="276" t="s">
        <v>32</v>
      </c>
    </row>
    <row r="25" spans="2:7" ht="27" customHeight="1">
      <c r="B25" s="275" t="s">
        <v>261</v>
      </c>
      <c r="C25" s="276">
        <v>0</v>
      </c>
      <c r="D25" s="186"/>
      <c r="G25" s="79"/>
    </row>
    <row r="26" spans="2:7" ht="27" customHeight="1">
      <c r="B26" s="277" t="s">
        <v>236</v>
      </c>
      <c r="C26" s="278" t="s">
        <v>137</v>
      </c>
      <c r="D26" s="187"/>
      <c r="F26" s="302" t="s">
        <v>277</v>
      </c>
      <c r="G26" s="79"/>
    </row>
    <row r="27" spans="2:7" ht="27.75" customHeight="1">
      <c r="D27" s="186"/>
      <c r="G27" s="79"/>
    </row>
    <row r="28" spans="2:7" ht="23.45" customHeight="1">
      <c r="D28" s="252"/>
      <c r="G28" s="79"/>
    </row>
    <row r="29" spans="2:7" ht="24.95" customHeight="1">
      <c r="D29" s="187"/>
      <c r="G29" s="79"/>
    </row>
    <row r="30" spans="2:7" ht="24" customHeight="1">
      <c r="G30" s="79"/>
    </row>
    <row r="31" spans="2:7" ht="24" customHeight="1">
      <c r="G31" s="79"/>
    </row>
    <row r="32" spans="2:7" ht="24" customHeight="1">
      <c r="G32" s="79"/>
    </row>
    <row r="39" spans="2:6">
      <c r="E39" s="51"/>
      <c r="F39" s="51"/>
    </row>
    <row r="40" spans="2:6">
      <c r="E40" s="51"/>
      <c r="F40" s="51"/>
    </row>
    <row r="41" spans="2:6">
      <c r="E41" s="51"/>
      <c r="F41" s="51"/>
    </row>
    <row r="42" spans="2:6">
      <c r="E42" s="51"/>
      <c r="F42" s="51"/>
    </row>
    <row r="43" spans="2:6">
      <c r="E43" s="51"/>
      <c r="F43" s="51"/>
    </row>
    <row r="44" spans="2:6">
      <c r="E44" s="51"/>
      <c r="F44" s="51"/>
    </row>
    <row r="45" spans="2:6">
      <c r="E45" s="51"/>
      <c r="F45" s="51"/>
    </row>
    <row r="46" spans="2:6" ht="24">
      <c r="B46" s="248"/>
      <c r="C46" s="249"/>
    </row>
  </sheetData>
  <mergeCells count="12">
    <mergeCell ref="B18:C18"/>
    <mergeCell ref="B20:C20"/>
    <mergeCell ref="B22:C22"/>
    <mergeCell ref="B1:F1"/>
    <mergeCell ref="B2:F2"/>
    <mergeCell ref="E15:F15"/>
    <mergeCell ref="B3:F3"/>
    <mergeCell ref="B4:C4"/>
    <mergeCell ref="B15:C15"/>
    <mergeCell ref="E4:F4"/>
    <mergeCell ref="E19:F19"/>
    <mergeCell ref="E21:F21"/>
  </mergeCells>
  <dataValidations xWindow="739" yWindow="537" count="15">
    <dataValidation type="whole" allowBlank="1" showInputMessage="1" showErrorMessage="1" errorTitle="توجه" error="عددی از صفر (0) تا  دو هزار و دویست و پنجاه (۲۲۵۰) وارد نمایید (با توجه به آخرین حکم کارگزینی)" sqref="C10"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xr:uid="{00000000-0002-0000-0000-000001000000}">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xr:uid="{00000000-0002-0000-0000-000002000000}">
      <formula1>0</formula1>
      <formula2>20000</formula2>
    </dataValidation>
    <dataValidation type="whole" allowBlank="1" showInputMessage="1" showErrorMessage="1" errorTitle="توجه" error="در ورود اطلاعات دقت فرمایید_x000a_عددی بین 0 تا 20000000 وارد نمایید" sqref="F6:F7" xr:uid="{00000000-0002-0000-0000-000003000000}">
      <formula1>0</formula1>
      <formula2>20000000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xr:uid="{00000000-0002-0000-0000-000004000000}">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xr:uid="{00000000-0002-0000-0000-000005000000}">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F8" xr:uid="{00000000-0002-0000-0000-000006000000}">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9" xr:uid="{00000000-0002-0000-0000-000007000000}">
      <formula1>0</formula1>
      <formula2>100000000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xr:uid="{00000000-0002-0000-0000-000008000000}">
      <formula1>0</formula1>
      <formula2>30000</formula2>
    </dataValidation>
    <dataValidation type="whole" allowBlank="1" showInputMessage="1" showErrorMessage="1" errorTitle="اخطار" error="عددی از  ۷۰۰ تا ۳۰۰۰_x000a_را وارد نمایید" sqref="C9" xr:uid="{00000000-0002-0000-0000-000009000000}">
      <formula1>0</formula1>
      <formula2>3000</formula2>
    </dataValidation>
    <dataValidation type="whole" allowBlank="1" showInputMessage="1" showErrorMessage="1" promptTitle="توجه" prompt="در صورتی که تا قبل از سال 1401 بیش از 1000 ساعت آموزش ضمن خدمت داشته اید عدد صفر را وارد نمایید در غیر این صورت میزان ساعات آموزش سال 1401 خود را وارد نمایید." sqref="C25" xr:uid="{00000000-0002-0000-0000-00000A000000}">
      <formula1>0</formula1>
      <formula2>1000</formula2>
    </dataValidation>
    <dataValidation type="whole" allowBlank="1" showInputMessage="1" showErrorMessage="1" errorTitle="اخطار" error="عددی از صفر (۰) تا چهار هزار و پانصد (۴۵۰۰) وارد نمایید (مطابق با آخرین حکم کارگزینی)" sqref="C13" xr:uid="{00000000-0002-0000-0000-00000D000000}">
      <formula1>0</formula1>
      <formula2>4500</formula2>
    </dataValidation>
    <dataValidation type="whole" allowBlank="1" showInputMessage="1" showErrorMessage="1" errorTitle="اخطار" error="مطابق با آخرین حکم کارگزینی سال گذشته رقم مورد نظر را وارد نمایید." sqref="F11:F13" xr:uid="{00000000-0002-0000-0000-00000E000000}">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F14" xr:uid="{00000000-0002-0000-0000-00000F000000}">
      <formula1>0</formula1>
      <formula2>60000000</formula2>
    </dataValidation>
    <dataValidation allowBlank="1" showInputMessage="1" showErrorMessage="1"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B25" xr:uid="{00000000-0002-0000-0000-000010000000}"/>
  </dataValidations>
  <hyperlinks>
    <hyperlink ref="F16" location="'حکم سال 1402'!A1" display="ورود" xr:uid="{00000000-0004-0000-0000-000000000000}"/>
    <hyperlink ref="F17" location="'جدول محاسبات'!A1" display="ورود" xr:uid="{00000000-0004-0000-0000-000001000000}"/>
    <hyperlink ref="F18" location="'حکم سال 1403'!A1" display="ورود" xr:uid="{00000000-0004-0000-0000-000002000000}"/>
    <hyperlink ref="E19:F19" r:id="rId1" display="تهیه و تنظیم: صیاح الدین شهدی" xr:uid="{00000000-0004-0000-0000-000006000000}"/>
  </hyperlinks>
  <printOptions horizontalCentered="1"/>
  <pageMargins left="0.11811023622047245" right="0.11811023622047245" top="0.15748031496062992" bottom="0.19685039370078741" header="0.11811023622047245" footer="0.11811023622047245"/>
  <pageSetup paperSize="9" scale="73" orientation="portrait" r:id="rId2"/>
  <extLst>
    <ext xmlns:x14="http://schemas.microsoft.com/office/spreadsheetml/2009/9/main" uri="{CCE6A557-97BC-4b89-ADB6-D9C93CAAB3DF}">
      <x14:dataValidations xmlns:xm="http://schemas.microsoft.com/office/excel/2006/main" xWindow="739" yWindow="537" count="7">
        <x14:dataValidation type="list" allowBlank="1" showInputMessage="1" showErrorMessage="1" errorTitle="توجه" error="یکی از گزینه های زیر را وارد نمایید_x000a__x000a_خیر_x000a_بلی_x000a__x000a__x000a_" xr:uid="{00000000-0002-0000-0000-000011000000}">
          <x14:formula1>
            <xm:f>Sheet2!$S$2:$S$3</xm:f>
          </x14:formula1>
          <xm:sqref>C21</xm:sqref>
        </x14:dataValidation>
        <x14:dataValidation type="list" allowBlank="1" showInputMessage="1" showErrorMessage="1" xr:uid="{00000000-0002-0000-0000-000013000000}">
          <x14:formula1>
            <xm:f>'ورود اطلاعات (2)'!$W$2:$W$3</xm:f>
          </x14:formula1>
          <xm:sqref>C23</xm:sqref>
        </x14:dataValidation>
        <x14:dataValidation type="list" allowBlank="1" showInputMessage="1" showErrorMessage="1" errorTitle="توجه" error="لطفاً از لیست کشویی انتخاب نمایید" prompt="کارشناس_x000a_رئیس اداره_x000a_مدیر" xr:uid="{00000000-0002-0000-0000-000014000000}">
          <x14:formula1>
            <xm:f>'ورود اطلاعات (2)'!$Y$1:$Y$3</xm:f>
          </x14:formula1>
          <xm:sqref>C26</xm:sqref>
        </x14:dataValidation>
        <x14:dataValidation type="list" allowBlank="1" showInputMessage="1" showErrorMessage="1" xr:uid="{00000000-0002-0000-0000-000015000000}">
          <x14:formula1>
            <xm:f>'ورود اطلاعات (2)'!$AA$1:$AA$6</xm:f>
          </x14:formula1>
          <xm:sqref>C24</xm:sqref>
        </x14:dataValidation>
        <x14:dataValidation type="list" allowBlank="1" showInputMessage="1" showErrorMessage="1" errorTitle="توجه" error="با بلی یا خیر پاسخ دهید_x000a__x000a__x000a_" xr:uid="{4B9B8D88-D0A2-41D0-8046-BA5A3B0128B7}">
          <x14:formula1>
            <xm:f>Sheet1!$C$8:$C$9</xm:f>
          </x14:formula1>
          <xm:sqref>C16</xm:sqref>
        </x14:dataValidation>
        <x14:dataValidation type="list" allowBlank="1" showInputMessage="1" showErrorMessage="1" errorTitle="توجه" error="تعداد فرزندان مشمول دریافت کمک هزینه حق اولاد را وارد نمایید" xr:uid="{0909527D-9298-4A6F-89EC-A1FE967A5051}">
          <x14:formula1>
            <xm:f>Sheet1!$H$2:$H$11</xm:f>
          </x14:formula1>
          <xm:sqref>C17</xm:sqref>
        </x14:dataValidation>
        <x14:dataValidation type="list" allowBlank="1" showInputMessage="1" showErrorMessage="1" errorTitle="توجه" error="عدد چهار رقمی معادل سال ازدواج خود را وارد نمایید از 1360 تا 1402_x000a__x000a__x000a_" xr:uid="{BB93E4F5-D9F5-4A22-9846-9E604B5CF60C}">
          <x14:formula1>
            <xm:f>Sheet1!$I$2:$I$7</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L45"/>
  <sheetViews>
    <sheetView showGridLines="0" showRowColHeaders="0" rightToLeft="1" topLeftCell="A29" zoomScaleNormal="100" workbookViewId="0">
      <selection activeCell="B37" sqref="B37"/>
    </sheetView>
  </sheetViews>
  <sheetFormatPr defaultColWidth="9" defaultRowHeight="15"/>
  <cols>
    <col min="1" max="1" width="4.28515625" style="51" customWidth="1"/>
    <col min="2" max="2" width="25" style="51" customWidth="1"/>
    <col min="3" max="3" width="2.42578125" style="51" customWidth="1"/>
    <col min="4" max="4" width="12.7109375" style="51" customWidth="1"/>
    <col min="5" max="5" width="10.28515625" style="51" customWidth="1"/>
    <col min="6" max="11" width="15.7109375" style="51" customWidth="1"/>
    <col min="12" max="12" width="2.7109375" style="51" customWidth="1"/>
    <col min="13" max="13" width="9.28515625" style="51" customWidth="1"/>
    <col min="14" max="16384" width="9" style="51"/>
  </cols>
  <sheetData>
    <row r="1" spans="2:11" ht="33.75" customHeight="1">
      <c r="B1" s="350" t="s">
        <v>132</v>
      </c>
      <c r="C1" s="350"/>
      <c r="D1" s="350"/>
      <c r="E1" s="350"/>
      <c r="F1" s="350"/>
      <c r="G1" s="350"/>
      <c r="H1" s="350"/>
      <c r="I1" s="350"/>
      <c r="J1" s="241"/>
      <c r="K1" s="241"/>
    </row>
    <row r="2" spans="2:11" ht="48.75" customHeight="1">
      <c r="B2" s="330" t="s">
        <v>14</v>
      </c>
      <c r="C2" s="331"/>
      <c r="D2" s="331"/>
      <c r="E2" s="332"/>
      <c r="F2" s="328" t="s">
        <v>262</v>
      </c>
      <c r="G2" s="329"/>
      <c r="H2" s="328" t="s">
        <v>263</v>
      </c>
      <c r="I2" s="329"/>
    </row>
    <row r="3" spans="2:11" ht="25.5" customHeight="1">
      <c r="B3" s="333"/>
      <c r="C3" s="334"/>
      <c r="D3" s="334"/>
      <c r="E3" s="335"/>
      <c r="F3" s="298" t="s">
        <v>0</v>
      </c>
      <c r="G3" s="299" t="s">
        <v>1</v>
      </c>
      <c r="H3" s="298" t="s">
        <v>0</v>
      </c>
      <c r="I3" s="299" t="s">
        <v>1</v>
      </c>
    </row>
    <row r="4" spans="2:11" ht="21">
      <c r="B4" s="352" t="s">
        <v>22</v>
      </c>
      <c r="C4" s="353"/>
      <c r="D4" s="336" t="s">
        <v>3</v>
      </c>
      <c r="E4" s="337"/>
      <c r="F4" s="256">
        <f>'ورود اطلاعات'!C6</f>
        <v>0</v>
      </c>
      <c r="G4" s="257">
        <f>F4*Sheet2!H50</f>
        <v>0</v>
      </c>
      <c r="H4" s="256">
        <f>IF(Sheet2!M22="قراردادی",Sheet2!M43*1.25,Sheet2!M43)</f>
        <v>0</v>
      </c>
      <c r="I4" s="257">
        <f>H4*Sheet2!H51</f>
        <v>0</v>
      </c>
    </row>
    <row r="5" spans="2:11" ht="21">
      <c r="B5" s="354"/>
      <c r="C5" s="355"/>
      <c r="D5" s="338" t="s">
        <v>4</v>
      </c>
      <c r="E5" s="339"/>
      <c r="F5" s="258">
        <f>'ورود اطلاعات'!C7</f>
        <v>0</v>
      </c>
      <c r="G5" s="259">
        <f>F5*Sheet2!H50</f>
        <v>0</v>
      </c>
      <c r="H5" s="258">
        <f>IF(Sheet2!M22="قراردادی",Sheet2!M44*1.25,Sheet2!M44)</f>
        <v>0</v>
      </c>
      <c r="I5" s="259">
        <f>H5*Sheet2!H51</f>
        <v>0</v>
      </c>
    </row>
    <row r="6" spans="2:11" ht="21">
      <c r="B6" s="354"/>
      <c r="C6" s="355"/>
      <c r="D6" s="340" t="s">
        <v>5</v>
      </c>
      <c r="E6" s="341"/>
      <c r="F6" s="264">
        <f>'ورود اطلاعات'!C8</f>
        <v>0</v>
      </c>
      <c r="G6" s="265">
        <f>F6*Sheet2!H50</f>
        <v>0</v>
      </c>
      <c r="H6" s="264">
        <f>IF(Sheet2!M22="قراردادی",Sheet2!M45*1.25,Sheet2!M45)</f>
        <v>0</v>
      </c>
      <c r="I6" s="265">
        <f>H6*Sheet2!H51</f>
        <v>0</v>
      </c>
    </row>
    <row r="7" spans="2:11" ht="33.75" customHeight="1">
      <c r="B7" s="356"/>
      <c r="C7" s="357"/>
      <c r="D7" s="342" t="s">
        <v>6</v>
      </c>
      <c r="E7" s="343"/>
      <c r="F7" s="300">
        <f t="shared" ref="F7:G7" si="0">SUM(F4:F6)</f>
        <v>0</v>
      </c>
      <c r="G7" s="301">
        <f t="shared" si="0"/>
        <v>0</v>
      </c>
      <c r="H7" s="300">
        <f>SUM(H4:H6)</f>
        <v>0</v>
      </c>
      <c r="I7" s="301">
        <f>SUM(I4:I6)</f>
        <v>0</v>
      </c>
    </row>
    <row r="8" spans="2:11" ht="21">
      <c r="B8" s="344" t="s">
        <v>10</v>
      </c>
      <c r="C8" s="345"/>
      <c r="D8" s="345"/>
      <c r="E8" s="346"/>
      <c r="F8" s="256"/>
      <c r="G8" s="257">
        <f>'ورود اطلاعات'!F8</f>
        <v>0</v>
      </c>
      <c r="H8" s="256"/>
      <c r="I8" s="257">
        <f>Sheet2!N47</f>
        <v>0</v>
      </c>
    </row>
    <row r="9" spans="2:11" ht="21">
      <c r="B9" s="311" t="s">
        <v>15</v>
      </c>
      <c r="C9" s="312"/>
      <c r="D9" s="312"/>
      <c r="E9" s="313"/>
      <c r="F9" s="258">
        <f>'ورود اطلاعات'!C9</f>
        <v>0</v>
      </c>
      <c r="G9" s="259">
        <f>F9*Sheet2!H50</f>
        <v>0</v>
      </c>
      <c r="H9" s="258">
        <f>IF(Sheet2!M22="قراردادی",Sheet2!M48*1.25,Sheet2!M48)</f>
        <v>0</v>
      </c>
      <c r="I9" s="259">
        <f>H9*Sheet2!H51</f>
        <v>0</v>
      </c>
    </row>
    <row r="10" spans="2:11" ht="21">
      <c r="B10" s="347" t="s">
        <v>23</v>
      </c>
      <c r="C10" s="348"/>
      <c r="D10" s="348"/>
      <c r="E10" s="230" t="e">
        <f>IF(Sheet2!J33=0," ",Sheet2!J33&amp;" درصد")</f>
        <v>#DIV/0!</v>
      </c>
      <c r="F10" s="260"/>
      <c r="G10" s="261">
        <f>'ورود اطلاعات'!F9</f>
        <v>0</v>
      </c>
      <c r="H10" s="260"/>
      <c r="I10" s="261">
        <f>IF('ورود اطلاعات'!F9=0,0,SUM(I7,I9,I14,I16,I17,I18,I25)*Sheet2!K31%)</f>
        <v>0</v>
      </c>
    </row>
    <row r="11" spans="2:11" ht="21">
      <c r="B11" s="311" t="s">
        <v>214</v>
      </c>
      <c r="C11" s="312"/>
      <c r="D11" s="312"/>
      <c r="E11" s="231" t="e">
        <f>IF(Sheet2!J35=0," ",Sheet2!J35&amp;" درصد")</f>
        <v>#DIV/0!</v>
      </c>
      <c r="F11" s="258"/>
      <c r="G11" s="259">
        <f>'ورود اطلاعات'!F10</f>
        <v>0</v>
      </c>
      <c r="H11" s="258"/>
      <c r="I11" s="259">
        <f>IF('ورود اطلاعات'!F10=0,0,SUM(I7,I9,I14,I16,I17,I18,I25)*Sheet2!K32%)</f>
        <v>0</v>
      </c>
    </row>
    <row r="12" spans="2:11" ht="21">
      <c r="B12" s="347" t="s">
        <v>25</v>
      </c>
      <c r="C12" s="348"/>
      <c r="D12" s="348"/>
      <c r="E12" s="232" t="e">
        <f>IF(Sheet2!J31=0," ",Sheet2!J31&amp;" درصد")</f>
        <v>#DIV/0!</v>
      </c>
      <c r="F12" s="262"/>
      <c r="G12" s="263">
        <f>'ورود اطلاعات'!F11</f>
        <v>0</v>
      </c>
      <c r="H12" s="262"/>
      <c r="I12" s="263">
        <f>IF('ورود اطلاعات'!F11=0,0,SUM(I7,I25)*Sheet2!K33%)</f>
        <v>0</v>
      </c>
    </row>
    <row r="13" spans="2:11" ht="21">
      <c r="B13" s="311" t="s">
        <v>24</v>
      </c>
      <c r="C13" s="312"/>
      <c r="D13" s="312"/>
      <c r="E13" s="233" t="e">
        <f>IF(Sheet2!J32=0," ",Sheet2!J32&amp;" درصد")</f>
        <v>#DIV/0!</v>
      </c>
      <c r="F13" s="258"/>
      <c r="G13" s="259">
        <f>'ورود اطلاعات'!F12</f>
        <v>0</v>
      </c>
      <c r="H13" s="258"/>
      <c r="I13" s="259">
        <f>IF('ورود اطلاعات'!F12=0,0,SUM(I7,I25)*Sheet2!K34%)</f>
        <v>0</v>
      </c>
    </row>
    <row r="14" spans="2:11" ht="21">
      <c r="B14" s="347" t="s">
        <v>16</v>
      </c>
      <c r="C14" s="348"/>
      <c r="D14" s="348"/>
      <c r="E14" s="349"/>
      <c r="F14" s="262">
        <f>'ورود اطلاعات'!C10</f>
        <v>0</v>
      </c>
      <c r="G14" s="263">
        <f>F14*Sheet2!H50</f>
        <v>0</v>
      </c>
      <c r="H14" s="262">
        <f>IF(Sheet2!M22="قراردادی",Sheet2!M53*1.25,Sheet2!M53)</f>
        <v>0</v>
      </c>
      <c r="I14" s="263">
        <f>H14*Sheet2!H51</f>
        <v>0</v>
      </c>
    </row>
    <row r="15" spans="2:11" ht="21">
      <c r="B15" s="311" t="s">
        <v>116</v>
      </c>
      <c r="C15" s="312"/>
      <c r="D15" s="312"/>
      <c r="E15" s="313"/>
      <c r="F15" s="258"/>
      <c r="G15" s="259">
        <f>IF('ورود اطلاعات'!C21="بلی",Sheet2!O54*25%,0)</f>
        <v>0</v>
      </c>
      <c r="H15" s="258"/>
      <c r="I15" s="259">
        <f>Sheet2!N54</f>
        <v>0</v>
      </c>
    </row>
    <row r="16" spans="2:11" ht="21">
      <c r="B16" s="347" t="s">
        <v>17</v>
      </c>
      <c r="C16" s="348"/>
      <c r="D16" s="348"/>
      <c r="E16" s="349"/>
      <c r="F16" s="262">
        <f>'ورود اطلاعات'!C11</f>
        <v>0</v>
      </c>
      <c r="G16" s="263">
        <f>F16*Sheet2!H50</f>
        <v>0</v>
      </c>
      <c r="H16" s="262">
        <f>IF(Sheet2!M22="قراردادی",Sheet2!M55*1.25,Sheet2!M55)</f>
        <v>0</v>
      </c>
      <c r="I16" s="263">
        <f>H16*Sheet2!H51</f>
        <v>0</v>
      </c>
    </row>
    <row r="17" spans="2:9" ht="21">
      <c r="B17" s="311" t="s">
        <v>18</v>
      </c>
      <c r="C17" s="312"/>
      <c r="D17" s="312"/>
      <c r="E17" s="313"/>
      <c r="F17" s="258">
        <f>'ورود اطلاعات'!C12</f>
        <v>0</v>
      </c>
      <c r="G17" s="259">
        <f>F17*Sheet2!H50</f>
        <v>0</v>
      </c>
      <c r="H17" s="258">
        <f>IF(Sheet2!M22="قراردادی",Sheet2!M56*1.25,Sheet2!M56)</f>
        <v>0</v>
      </c>
      <c r="I17" s="259">
        <f>H17*Sheet2!H51</f>
        <v>0</v>
      </c>
    </row>
    <row r="18" spans="2:9" ht="21">
      <c r="B18" s="347" t="s">
        <v>19</v>
      </c>
      <c r="C18" s="348"/>
      <c r="D18" s="348"/>
      <c r="E18" s="349"/>
      <c r="F18" s="262">
        <f>'ورود اطلاعات'!C13</f>
        <v>0</v>
      </c>
      <c r="G18" s="263">
        <f>F18*Sheet2!H50</f>
        <v>0</v>
      </c>
      <c r="H18" s="262">
        <f>IF(Sheet2!M22="قراردادی",Sheet2!M57*1.25,Sheet2!M57)</f>
        <v>0</v>
      </c>
      <c r="I18" s="263">
        <f>H18*Sheet2!H51</f>
        <v>0</v>
      </c>
    </row>
    <row r="19" spans="2:9" ht="21">
      <c r="B19" s="311" t="s">
        <v>20</v>
      </c>
      <c r="C19" s="312"/>
      <c r="D19" s="312"/>
      <c r="E19" s="313"/>
      <c r="F19" s="258">
        <f>IF('ورود اطلاعات'!C16="خیر",0,2280)</f>
        <v>0</v>
      </c>
      <c r="G19" s="259">
        <f>F19*Sheet2!H50</f>
        <v>0</v>
      </c>
      <c r="H19" s="258">
        <f>IF(AND(Sheet1!I21&gt;0,Sheet1!I22&gt;2),Sheet1!I21*Sheet1!J19,Sheet1!I21*Sheet1!I19)</f>
        <v>0</v>
      </c>
      <c r="I19" s="259">
        <f>H19*Sheet2!H51</f>
        <v>0</v>
      </c>
    </row>
    <row r="20" spans="2:9" ht="21">
      <c r="B20" s="347" t="s">
        <v>21</v>
      </c>
      <c r="C20" s="348"/>
      <c r="D20" s="348"/>
      <c r="E20" s="349"/>
      <c r="F20" s="262">
        <f>'ورود اطلاعات'!C17*1050</f>
        <v>0</v>
      </c>
      <c r="G20" s="263">
        <f>F20*Sheet2!H50</f>
        <v>0</v>
      </c>
      <c r="H20" s="262">
        <f>IF('ورود اطلاعات'!C17&gt;2,3560+(Sheet1!J22*Sheet1!J20),Sheet1!I22*Sheet1!I20)</f>
        <v>0</v>
      </c>
      <c r="I20" s="263">
        <f>H20*Sheet2!H51</f>
        <v>0</v>
      </c>
    </row>
    <row r="21" spans="2:9" ht="21">
      <c r="B21" s="311" t="s">
        <v>123</v>
      </c>
      <c r="C21" s="312"/>
      <c r="D21" s="312"/>
      <c r="E21" s="231" t="e">
        <f>IF(Sheet2!J34=0," ",Sheet2!J34&amp;" درصد")</f>
        <v>#DIV/0!</v>
      </c>
      <c r="F21" s="258"/>
      <c r="G21" s="259">
        <f>'ورود اطلاعات'!F13</f>
        <v>0</v>
      </c>
      <c r="H21" s="258"/>
      <c r="I21" s="259">
        <f>IF('ورود اطلاعات'!F13=0,0,I4*Sheet2!K35%)</f>
        <v>0</v>
      </c>
    </row>
    <row r="22" spans="2:9" ht="21">
      <c r="B22" s="347" t="s">
        <v>11</v>
      </c>
      <c r="C22" s="348"/>
      <c r="D22" s="348"/>
      <c r="E22" s="349"/>
      <c r="F22" s="262"/>
      <c r="G22" s="263">
        <f>'ورود اطلاعات'!F14</f>
        <v>0</v>
      </c>
      <c r="H22" s="262"/>
      <c r="I22" s="263">
        <f>IF(Sheet2!M22="قراردادی",0,Sheet2!N61)</f>
        <v>0</v>
      </c>
    </row>
    <row r="23" spans="2:9" ht="21">
      <c r="B23" s="311" t="s">
        <v>232</v>
      </c>
      <c r="C23" s="312"/>
      <c r="D23" s="312"/>
      <c r="E23" s="313"/>
      <c r="F23" s="258"/>
      <c r="G23" s="259">
        <f>'ورود اطلاعات'!F6</f>
        <v>0</v>
      </c>
      <c r="H23" s="258"/>
      <c r="I23" s="259">
        <v>0</v>
      </c>
    </row>
    <row r="24" spans="2:9" ht="21">
      <c r="B24" s="347" t="s">
        <v>231</v>
      </c>
      <c r="C24" s="348"/>
      <c r="D24" s="348"/>
      <c r="E24" s="349"/>
      <c r="F24" s="262"/>
      <c r="G24" s="263">
        <f>'ورود اطلاعات'!F7</f>
        <v>0</v>
      </c>
      <c r="H24" s="262"/>
      <c r="I24" s="263">
        <v>0</v>
      </c>
    </row>
    <row r="25" spans="2:9" ht="21">
      <c r="B25" s="311" t="s">
        <v>242</v>
      </c>
      <c r="C25" s="312"/>
      <c r="D25" s="312"/>
      <c r="E25" s="313"/>
      <c r="F25" s="258"/>
      <c r="G25" s="259"/>
      <c r="H25" s="258"/>
      <c r="I25" s="259">
        <f>G23+G24</f>
        <v>0</v>
      </c>
    </row>
    <row r="26" spans="2:9" ht="21">
      <c r="B26" s="347" t="s">
        <v>275</v>
      </c>
      <c r="C26" s="348"/>
      <c r="D26" s="348"/>
      <c r="E26" s="349"/>
      <c r="F26" s="262"/>
      <c r="G26" s="263">
        <f>IF(Sheet2!E11&lt;=Sheet2!F11,Sheet2!F11-Sheet2!E11,0)</f>
        <v>67198800</v>
      </c>
      <c r="H26" s="262"/>
      <c r="I26" s="263">
        <v>0</v>
      </c>
    </row>
    <row r="27" spans="2:9" ht="21">
      <c r="B27" s="311" t="s">
        <v>276</v>
      </c>
      <c r="C27" s="312"/>
      <c r="D27" s="312"/>
      <c r="E27" s="313"/>
      <c r="F27" s="258"/>
      <c r="G27" s="259"/>
      <c r="H27" s="258"/>
      <c r="I27" s="259">
        <f>IF(Sheet2!E10&lt;=Sheet2!F10,Sheet2!F10-Sheet2!E10,0)</f>
        <v>85513000</v>
      </c>
    </row>
    <row r="28" spans="2:9" ht="21">
      <c r="B28" s="347" t="s">
        <v>247</v>
      </c>
      <c r="C28" s="348"/>
      <c r="D28" s="348"/>
      <c r="E28" s="349"/>
      <c r="F28" s="262">
        <v>3000</v>
      </c>
      <c r="G28" s="263">
        <f>F28*Sheet2!H50</f>
        <v>12072000</v>
      </c>
      <c r="H28" s="262">
        <v>3000</v>
      </c>
      <c r="I28" s="263">
        <f>H28*Sheet2!H51</f>
        <v>14487000</v>
      </c>
    </row>
    <row r="29" spans="2:9" ht="26.1" customHeight="1">
      <c r="B29" s="311" t="s">
        <v>282</v>
      </c>
      <c r="C29" s="312"/>
      <c r="D29" s="312"/>
      <c r="E29" s="313"/>
      <c r="F29" s="258"/>
      <c r="G29" s="259">
        <f>VLOOKUP('ورود اطلاعات'!C19,Sheet1!I2:L7,3,0)</f>
        <v>0</v>
      </c>
      <c r="H29" s="258"/>
      <c r="I29" s="259">
        <f>VLOOKUP('ورود اطلاعات'!C19,Sheet1!I2:L7,4,0)</f>
        <v>0</v>
      </c>
    </row>
    <row r="30" spans="2:9" ht="26.1" customHeight="1">
      <c r="B30" s="325" t="s">
        <v>280</v>
      </c>
      <c r="C30" s="326"/>
      <c r="D30" s="326"/>
      <c r="E30" s="327"/>
      <c r="F30" s="260">
        <f>'ورود اطلاعات'!C14</f>
        <v>0</v>
      </c>
      <c r="G30" s="261">
        <f>F30*Sheet2!H50</f>
        <v>0</v>
      </c>
      <c r="H30" s="260">
        <f>F30</f>
        <v>0</v>
      </c>
      <c r="I30" s="261">
        <f>H30*Sheet2!H51</f>
        <v>0</v>
      </c>
    </row>
    <row r="31" spans="2:9" ht="41.25" customHeight="1">
      <c r="B31" s="358" t="s">
        <v>9</v>
      </c>
      <c r="C31" s="359"/>
      <c r="D31" s="359"/>
      <c r="E31" s="360"/>
      <c r="F31" s="300">
        <f>SUM(F7:F28)</f>
        <v>3000</v>
      </c>
      <c r="G31" s="301">
        <f>SUM(G7:G30)</f>
        <v>79270800</v>
      </c>
      <c r="H31" s="300">
        <f>SUM(H7:H28)</f>
        <v>3000</v>
      </c>
      <c r="I31" s="301">
        <f>SUM(I7:I30)</f>
        <v>100000000</v>
      </c>
    </row>
    <row r="32" spans="2:9" ht="24.75" customHeight="1"/>
    <row r="33" spans="1:12" ht="33.75" customHeight="1">
      <c r="D33" s="361" t="s">
        <v>131</v>
      </c>
      <c r="E33" s="362"/>
      <c r="F33" s="363"/>
      <c r="G33" s="228" t="s">
        <v>264</v>
      </c>
      <c r="H33" s="228" t="s">
        <v>265</v>
      </c>
      <c r="I33" s="228" t="s">
        <v>125</v>
      </c>
    </row>
    <row r="34" spans="1:12" ht="23.1" customHeight="1">
      <c r="D34" s="364" t="s">
        <v>126</v>
      </c>
      <c r="E34" s="365"/>
      <c r="F34" s="366"/>
      <c r="G34" s="266">
        <f>SUM(G7,G23:G24)/176</f>
        <v>0</v>
      </c>
      <c r="H34" s="267">
        <f>(I7+I25)/176</f>
        <v>0</v>
      </c>
      <c r="I34" s="268">
        <f>IF(H34=0,0,((H34-G34)/G34)*100)</f>
        <v>0</v>
      </c>
    </row>
    <row r="35" spans="1:12" ht="23.1" customHeight="1">
      <c r="D35" s="319" t="s">
        <v>164</v>
      </c>
      <c r="E35" s="320"/>
      <c r="F35" s="321"/>
      <c r="G35" s="269">
        <f>SUM(G7:G10,G14,G16:G18,G22:G24)+G26+G28+G29+G30</f>
        <v>79270800</v>
      </c>
      <c r="H35" s="269">
        <f>SUM(I7:I10,I14,I16:I18,I22:I24)+I25+I27+I28+I29+I30</f>
        <v>100000000</v>
      </c>
      <c r="I35" s="270">
        <f>IF(H35=0,0,((H35-G35)*100)/G35)</f>
        <v>26.149855936864519</v>
      </c>
    </row>
    <row r="36" spans="1:12" ht="23.1" customHeight="1">
      <c r="B36" s="239"/>
      <c r="D36" s="316" t="s">
        <v>127</v>
      </c>
      <c r="E36" s="317"/>
      <c r="F36" s="318"/>
      <c r="G36" s="271">
        <f>G31</f>
        <v>79270800</v>
      </c>
      <c r="H36" s="271">
        <f>I31</f>
        <v>100000000</v>
      </c>
      <c r="I36" s="272">
        <f>((H36-G36)*100)/G36</f>
        <v>26.149855936864519</v>
      </c>
    </row>
    <row r="37" spans="1:12" ht="23.1" customHeight="1">
      <c r="B37" s="240"/>
      <c r="D37" s="319" t="s">
        <v>130</v>
      </c>
      <c r="E37" s="320"/>
      <c r="F37" s="321"/>
      <c r="G37" s="269" t="s">
        <v>161</v>
      </c>
      <c r="H37" s="269">
        <f>I31-G31</f>
        <v>20729200</v>
      </c>
      <c r="I37" s="270">
        <f>((H36-G36)*100)/G36</f>
        <v>26.149855936864519</v>
      </c>
    </row>
    <row r="38" spans="1:12" ht="23.1" hidden="1" customHeight="1">
      <c r="D38" s="316" t="s">
        <v>128</v>
      </c>
      <c r="E38" s="317"/>
      <c r="F38" s="318"/>
      <c r="G38" s="235">
        <f>((G35-22468000)/50)+1123400</f>
        <v>2259456</v>
      </c>
      <c r="H38" s="235">
        <f>((H35-24714800)/50)+988592</f>
        <v>2494296</v>
      </c>
      <c r="I38" s="245">
        <f>((H38-G38)*100)/G38</f>
        <v>10.393652277362339</v>
      </c>
    </row>
    <row r="39" spans="1:12" ht="23.1" hidden="1" customHeight="1">
      <c r="D39" s="322" t="s">
        <v>129</v>
      </c>
      <c r="E39" s="323"/>
      <c r="F39" s="324"/>
      <c r="G39" s="236">
        <f>G38/2</f>
        <v>1129728</v>
      </c>
      <c r="H39" s="236">
        <f>H38/2</f>
        <v>1247148</v>
      </c>
      <c r="I39" s="246">
        <f>((H39-G39)*100)/G39</f>
        <v>10.393652277362339</v>
      </c>
    </row>
    <row r="40" spans="1:12" ht="9" customHeight="1">
      <c r="B40" s="118"/>
      <c r="C40" s="118"/>
      <c r="D40" s="118"/>
      <c r="E40" s="118"/>
      <c r="F40" s="118"/>
      <c r="G40" s="49"/>
      <c r="H40" s="49"/>
    </row>
    <row r="41" spans="1:12" ht="20.25" customHeight="1">
      <c r="A41" s="180"/>
      <c r="B41" s="242" t="s">
        <v>195</v>
      </c>
      <c r="C41" s="242"/>
      <c r="D41" s="49"/>
      <c r="E41" s="49"/>
      <c r="F41" s="49"/>
      <c r="G41" s="49"/>
      <c r="H41" s="315" t="s">
        <v>170</v>
      </c>
      <c r="I41" s="315"/>
      <c r="L41" s="179"/>
    </row>
    <row r="42" spans="1:12" ht="21.75" customHeight="1">
      <c r="A42" s="180"/>
      <c r="B42" s="351" t="str">
        <f>IF(I27&gt;0,"- چون با اعمال افزایش ضریب ریالی سال 1403 مجموع دریافتی شما به رقم حداقل دریافتی نرسیده است مشمول دریافت تفاوت تطبیق موضوع جزء (1) بند (الف) تبصره (15) شده اید.","- شما مشمول تفاوت تطبیق موضوع جزء (1) بند (الف) تبصره :(15) قانون بودجه سال 1402 نمی باشید.")</f>
        <v>- چون با اعمال افزایش ضریب ریالی سال 1403 مجموع دریافتی شما به رقم حداقل دریافتی نرسیده است مشمول دریافت تفاوت تطبیق موضوع جزء (1) بند (الف) تبصره (15) شده اید.</v>
      </c>
      <c r="C42" s="351"/>
      <c r="D42" s="351"/>
      <c r="E42" s="351"/>
      <c r="F42" s="351"/>
      <c r="G42" s="351"/>
      <c r="H42" s="315" t="s">
        <v>252</v>
      </c>
      <c r="I42" s="315"/>
      <c r="L42" s="178"/>
    </row>
    <row r="43" spans="1:12" ht="21">
      <c r="B43" s="314" t="str">
        <f>IF(Sheet2!M45-F6&lt;1,"- با توجه به اطلاعات وارد شده، مشمول افزایش امتیاز حق شاغل نمی شوید (رعایت سقف مقرر قانونی)","- در سال جدید افزایش امتیاز حق شاغل شما به میزان "&amp;Sheet2!E22&amp;" امتیاز اعمال خواهد شد.")</f>
        <v>- با توجه به اطلاعات وارد شده، مشمول افزایش امتیاز حق شاغل نمی شوید (رعایت سقف مقرر قانونی)</v>
      </c>
      <c r="C43" s="314"/>
      <c r="D43" s="314"/>
      <c r="E43" s="314"/>
      <c r="F43" s="314"/>
      <c r="G43" s="314"/>
      <c r="H43" s="315" t="s">
        <v>266</v>
      </c>
      <c r="I43" s="315"/>
      <c r="L43" s="178"/>
    </row>
    <row r="44" spans="1:12" ht="21" customHeight="1">
      <c r="B44" s="314" t="str">
        <f>IF((G23+G24)&gt;0,"- تفاوت تطبیق های موضوع بودجه سال های 97 و 98 (موسوم به بندهای دوقلو)، بدون افزایش ولی با حفظ سایر ویژگی های دیگر با هم تجمیع گردیده است."," ")</f>
        <v xml:space="preserve"> </v>
      </c>
      <c r="C44" s="314"/>
      <c r="D44" s="314"/>
      <c r="E44" s="314"/>
      <c r="F44" s="314"/>
      <c r="G44" s="314"/>
      <c r="H44" s="314"/>
      <c r="I44" s="314"/>
    </row>
    <row r="45" spans="1:12" ht="21" customHeight="1">
      <c r="B45" s="314" t="str">
        <f>IF(I34&lt;20,"- افزایش کمتر از 20 درصد نرخ اضافه کار به علت ثابت ماندن رقم بندهای دوقلو به عنوان جزئی از حقوق ثابت در سال 1403 می باشد.","- برای سال 1403، بندهای دوقلو که با هم تجمیع گردیده اند به عنوان جزئی از حقوق ثابت در محاسبه نرخ اضافه کار لحاظ گردیده اند.")</f>
        <v>- افزایش کمتر از 20 درصد نرخ اضافه کار به علت ثابت ماندن رقم بندهای دوقلو به عنوان جزئی از حقوق ثابت در سال 1403 می باشد.</v>
      </c>
      <c r="C45" s="314"/>
      <c r="D45" s="314"/>
      <c r="E45" s="314"/>
      <c r="F45" s="314"/>
      <c r="G45" s="314"/>
      <c r="H45" s="314"/>
      <c r="I45" s="314"/>
    </row>
  </sheetData>
  <mergeCells count="47">
    <mergeCell ref="B1:I1"/>
    <mergeCell ref="B42:G42"/>
    <mergeCell ref="B43:G43"/>
    <mergeCell ref="B4:C7"/>
    <mergeCell ref="B28:E28"/>
    <mergeCell ref="B31:E31"/>
    <mergeCell ref="D33:F33"/>
    <mergeCell ref="D34:F34"/>
    <mergeCell ref="D35:F35"/>
    <mergeCell ref="B27:E27"/>
    <mergeCell ref="B9:E9"/>
    <mergeCell ref="B15:E15"/>
    <mergeCell ref="B17:E17"/>
    <mergeCell ref="B19:E19"/>
    <mergeCell ref="B25:E25"/>
    <mergeCell ref="B13:D13"/>
    <mergeCell ref="B23:E23"/>
    <mergeCell ref="B26:E26"/>
    <mergeCell ref="B16:E16"/>
    <mergeCell ref="B18:E18"/>
    <mergeCell ref="B20:E20"/>
    <mergeCell ref="B22:E22"/>
    <mergeCell ref="B24:E24"/>
    <mergeCell ref="B21:D21"/>
    <mergeCell ref="D7:E7"/>
    <mergeCell ref="B8:E8"/>
    <mergeCell ref="B14:E14"/>
    <mergeCell ref="B11:D11"/>
    <mergeCell ref="F2:G2"/>
    <mergeCell ref="B10:D10"/>
    <mergeCell ref="B12:D12"/>
    <mergeCell ref="H2:I2"/>
    <mergeCell ref="B2:E3"/>
    <mergeCell ref="D4:E4"/>
    <mergeCell ref="D5:E5"/>
    <mergeCell ref="D6:E6"/>
    <mergeCell ref="B29:E29"/>
    <mergeCell ref="B45:I45"/>
    <mergeCell ref="H41:I41"/>
    <mergeCell ref="H42:I42"/>
    <mergeCell ref="H43:I43"/>
    <mergeCell ref="B44:I44"/>
    <mergeCell ref="D36:F36"/>
    <mergeCell ref="D37:F37"/>
    <mergeCell ref="D38:F38"/>
    <mergeCell ref="D39:F39"/>
    <mergeCell ref="B30:E30"/>
  </mergeCells>
  <hyperlinks>
    <hyperlink ref="H41:I41" location="'ورود اطلاعات'!A1" display="کاربرگ ورود اطلاعات" xr:uid="{00000000-0004-0000-0100-000005000000}"/>
    <hyperlink ref="H42:I42" location="'حکم سال 1402'!A1" display="حکم کارگزینی سال 1402" xr:uid="{00000000-0004-0000-0100-000006000000}"/>
    <hyperlink ref="H43" location="'حکم پس از رتبه بندی'!A1" display="ورود" xr:uid="{00000000-0004-0000-0100-000007000000}"/>
    <hyperlink ref="H43:I43" location="'حکم سال 1403'!A1" display="حکم کارگزینی سال 1403" xr:uid="{00000000-0004-0000-0100-000008000000}"/>
  </hyperlinks>
  <printOptions horizontalCentered="1"/>
  <pageMargins left="0.31496062992125984" right="0.31496062992125984" top="0.35433070866141736"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499984740745262"/>
    <pageSetUpPr fitToPage="1"/>
  </sheetPr>
  <dimension ref="A1:J54"/>
  <sheetViews>
    <sheetView showGridLines="0" showRowColHeaders="0" rightToLeft="1" topLeftCell="A22" workbookViewId="0">
      <selection activeCell="B30" sqref="B30:C30"/>
    </sheetView>
  </sheetViews>
  <sheetFormatPr defaultColWidth="9" defaultRowHeight="15"/>
  <cols>
    <col min="1" max="1" width="3.7109375" style="51" customWidth="1"/>
    <col min="2" max="2" width="34.28515625" style="51" customWidth="1"/>
    <col min="3" max="3" width="15" style="51" customWidth="1"/>
    <col min="4" max="4" width="16" style="51" customWidth="1"/>
    <col min="5" max="5" width="10.7109375" style="51" customWidth="1"/>
    <col min="6" max="6" width="11.7109375" style="51" customWidth="1"/>
    <col min="7" max="7" width="8.7109375" style="51" customWidth="1"/>
    <col min="8" max="8" width="13.7109375" style="51" customWidth="1"/>
    <col min="9" max="9" width="9" style="51"/>
    <col min="10" max="10" width="44.28515625" style="49" customWidth="1"/>
    <col min="11" max="16384" width="9" style="51"/>
  </cols>
  <sheetData>
    <row r="1" spans="1:9" ht="29.25" customHeight="1">
      <c r="A1" s="49"/>
      <c r="B1" s="419" t="s">
        <v>252</v>
      </c>
      <c r="C1" s="420" t="s">
        <v>26</v>
      </c>
      <c r="D1" s="420"/>
      <c r="E1" s="420"/>
      <c r="F1" s="50"/>
      <c r="G1" s="50"/>
      <c r="H1" s="50"/>
      <c r="I1" s="49"/>
    </row>
    <row r="2" spans="1:9" ht="18">
      <c r="A2" s="49"/>
      <c r="B2" s="419"/>
      <c r="C2" s="417" t="s">
        <v>37</v>
      </c>
      <c r="D2" s="417"/>
      <c r="E2" s="417"/>
      <c r="F2" s="50"/>
      <c r="G2" s="421" t="s">
        <v>38</v>
      </c>
      <c r="H2" s="421"/>
      <c r="I2" s="49"/>
    </row>
    <row r="3" spans="1:9" ht="10.5" customHeight="1" thickBot="1">
      <c r="A3" s="49"/>
      <c r="B3" s="419"/>
      <c r="C3" s="422"/>
      <c r="D3" s="422"/>
      <c r="E3" s="422"/>
      <c r="F3" s="52"/>
      <c r="G3" s="423"/>
      <c r="H3" s="423"/>
      <c r="I3" s="49"/>
    </row>
    <row r="4" spans="1:9" ht="18">
      <c r="A4" s="49"/>
      <c r="B4" s="424" t="s">
        <v>85</v>
      </c>
      <c r="C4" s="425"/>
      <c r="D4" s="426" t="s">
        <v>84</v>
      </c>
      <c r="E4" s="427"/>
      <c r="F4" s="427"/>
      <c r="G4" s="428"/>
      <c r="H4" s="429"/>
      <c r="I4" s="49"/>
    </row>
    <row r="5" spans="1:9" ht="18">
      <c r="A5" s="49"/>
      <c r="B5" s="430" t="s">
        <v>86</v>
      </c>
      <c r="C5" s="415"/>
      <c r="D5" s="415" t="s">
        <v>87</v>
      </c>
      <c r="E5" s="415"/>
      <c r="F5" s="415"/>
      <c r="G5" s="415" t="s">
        <v>88</v>
      </c>
      <c r="H5" s="416"/>
      <c r="I5" s="49"/>
    </row>
    <row r="6" spans="1:9" ht="18">
      <c r="A6" s="49"/>
      <c r="B6" s="207" t="s">
        <v>89</v>
      </c>
      <c r="C6" s="417" t="s">
        <v>90</v>
      </c>
      <c r="D6" s="417"/>
      <c r="E6" s="417"/>
      <c r="F6" s="418" t="s">
        <v>91</v>
      </c>
      <c r="G6" s="415"/>
      <c r="H6" s="416"/>
      <c r="I6" s="49"/>
    </row>
    <row r="7" spans="1:9" ht="24">
      <c r="A7" s="49"/>
      <c r="B7" s="201" t="s">
        <v>92</v>
      </c>
      <c r="C7" s="415" t="s">
        <v>93</v>
      </c>
      <c r="D7" s="415"/>
      <c r="E7" s="415"/>
      <c r="F7" s="431" t="s">
        <v>94</v>
      </c>
      <c r="G7" s="431"/>
      <c r="H7" s="432"/>
      <c r="I7" s="49"/>
    </row>
    <row r="8" spans="1:9" ht="18">
      <c r="A8" s="49"/>
      <c r="B8" s="206" t="s">
        <v>34</v>
      </c>
      <c r="C8" s="399" t="s">
        <v>95</v>
      </c>
      <c r="D8" s="399"/>
      <c r="E8" s="202"/>
      <c r="F8" s="399" t="s">
        <v>96</v>
      </c>
      <c r="G8" s="399"/>
      <c r="H8" s="204"/>
      <c r="I8" s="49"/>
    </row>
    <row r="9" spans="1:9" ht="18">
      <c r="A9" s="49"/>
      <c r="B9" s="408" t="s">
        <v>97</v>
      </c>
      <c r="C9" s="399"/>
      <c r="D9" s="399" t="s">
        <v>98</v>
      </c>
      <c r="E9" s="399"/>
      <c r="F9" s="399" t="s">
        <v>99</v>
      </c>
      <c r="G9" s="399"/>
      <c r="H9" s="409"/>
      <c r="I9" s="49"/>
    </row>
    <row r="10" spans="1:9" ht="18">
      <c r="A10" s="49"/>
      <c r="B10" s="408" t="s">
        <v>101</v>
      </c>
      <c r="C10" s="399"/>
      <c r="D10" s="399" t="s">
        <v>100</v>
      </c>
      <c r="E10" s="399"/>
      <c r="F10" s="399"/>
      <c r="G10" s="399"/>
      <c r="H10" s="409"/>
      <c r="I10" s="49"/>
    </row>
    <row r="11" spans="1:9" ht="18">
      <c r="A11" s="49"/>
      <c r="B11" s="408" t="s">
        <v>102</v>
      </c>
      <c r="C11" s="399"/>
      <c r="D11" s="53" t="s">
        <v>103</v>
      </c>
      <c r="E11" s="399"/>
      <c r="F11" s="399"/>
      <c r="G11" s="399" t="s">
        <v>104</v>
      </c>
      <c r="H11" s="409"/>
      <c r="I11" s="49"/>
    </row>
    <row r="12" spans="1:9" ht="18">
      <c r="A12" s="49"/>
      <c r="B12" s="203" t="s">
        <v>105</v>
      </c>
      <c r="C12" s="205"/>
      <c r="D12" s="415" t="s">
        <v>106</v>
      </c>
      <c r="E12" s="415"/>
      <c r="F12" s="415"/>
      <c r="G12" s="415"/>
      <c r="H12" s="416"/>
      <c r="I12" s="49"/>
    </row>
    <row r="13" spans="1:9" ht="19.5">
      <c r="A13" s="49"/>
      <c r="B13" s="408" t="s">
        <v>107</v>
      </c>
      <c r="C13" s="399"/>
      <c r="D13" s="399"/>
      <c r="E13" s="399"/>
      <c r="F13" s="399"/>
      <c r="G13" s="399"/>
      <c r="H13" s="409"/>
      <c r="I13" s="49"/>
    </row>
    <row r="14" spans="1:9" ht="18">
      <c r="A14" s="49"/>
      <c r="B14" s="408" t="s">
        <v>77</v>
      </c>
      <c r="C14" s="399"/>
      <c r="D14" s="399"/>
      <c r="E14" s="399"/>
      <c r="F14" s="399"/>
      <c r="G14" s="399"/>
      <c r="H14" s="409"/>
      <c r="I14" s="49"/>
    </row>
    <row r="15" spans="1:9" ht="22.5">
      <c r="A15" s="49"/>
      <c r="B15" s="369" t="s">
        <v>108</v>
      </c>
      <c r="C15" s="410"/>
      <c r="D15" s="411" t="s">
        <v>109</v>
      </c>
      <c r="E15" s="370"/>
      <c r="F15" s="370"/>
      <c r="G15" s="370"/>
      <c r="H15" s="371"/>
      <c r="I15" s="49"/>
    </row>
    <row r="16" spans="1:9" ht="19.5">
      <c r="A16" s="49"/>
      <c r="B16" s="369" t="s">
        <v>110</v>
      </c>
      <c r="C16" s="410"/>
      <c r="D16" s="412" t="s">
        <v>78</v>
      </c>
      <c r="E16" s="413"/>
      <c r="F16" s="414"/>
      <c r="G16" s="54" t="s">
        <v>0</v>
      </c>
      <c r="H16" s="55" t="s">
        <v>1</v>
      </c>
      <c r="I16" s="49"/>
    </row>
    <row r="17" spans="1:9" ht="21">
      <c r="A17" s="49"/>
      <c r="B17" s="56"/>
      <c r="C17" s="57"/>
      <c r="D17" s="403" t="s">
        <v>2</v>
      </c>
      <c r="E17" s="400" t="s">
        <v>3</v>
      </c>
      <c r="F17" s="402"/>
      <c r="G17" s="58">
        <f>'جدول محاسبات'!F4</f>
        <v>0</v>
      </c>
      <c r="H17" s="59">
        <f>'جدول محاسبات'!G4</f>
        <v>0</v>
      </c>
      <c r="I17" s="49"/>
    </row>
    <row r="18" spans="1:9" ht="21">
      <c r="A18" s="49"/>
      <c r="B18" s="68"/>
      <c r="C18" s="69"/>
      <c r="D18" s="404"/>
      <c r="E18" s="400" t="s">
        <v>4</v>
      </c>
      <c r="F18" s="402"/>
      <c r="G18" s="58">
        <f>'جدول محاسبات'!F5</f>
        <v>0</v>
      </c>
      <c r="H18" s="59">
        <f>'جدول محاسبات'!G5</f>
        <v>0</v>
      </c>
      <c r="I18" s="49"/>
    </row>
    <row r="19" spans="1:9" ht="24">
      <c r="A19" s="49"/>
      <c r="B19" s="367" t="s">
        <v>115</v>
      </c>
      <c r="C19" s="368"/>
      <c r="D19" s="404"/>
      <c r="E19" s="400" t="s">
        <v>5</v>
      </c>
      <c r="F19" s="402"/>
      <c r="G19" s="58">
        <f>'جدول محاسبات'!F6</f>
        <v>0</v>
      </c>
      <c r="H19" s="59">
        <f>'جدول محاسبات'!G6</f>
        <v>0</v>
      </c>
      <c r="I19" s="49"/>
    </row>
    <row r="20" spans="1:9" ht="21">
      <c r="A20" s="49"/>
      <c r="B20" s="68"/>
      <c r="C20" s="69"/>
      <c r="D20" s="405"/>
      <c r="E20" s="406" t="s">
        <v>6</v>
      </c>
      <c r="F20" s="407"/>
      <c r="G20" s="60">
        <f>SUM(G17:G19)</f>
        <v>0</v>
      </c>
      <c r="H20" s="61">
        <f>SUM(H17:H19)</f>
        <v>0</v>
      </c>
      <c r="I20" s="49"/>
    </row>
    <row r="21" spans="1:9" ht="21">
      <c r="A21" s="49"/>
      <c r="B21" s="68"/>
      <c r="C21" s="69"/>
      <c r="D21" s="400" t="s">
        <v>7</v>
      </c>
      <c r="E21" s="401"/>
      <c r="F21" s="402"/>
      <c r="G21" s="58"/>
      <c r="H21" s="59">
        <f>'جدول محاسبات'!G8</f>
        <v>0</v>
      </c>
      <c r="I21" s="49"/>
    </row>
    <row r="22" spans="1:9" ht="21">
      <c r="A22" s="49"/>
      <c r="B22" s="68"/>
      <c r="C22" s="69"/>
      <c r="D22" s="400" t="s">
        <v>8</v>
      </c>
      <c r="E22" s="401"/>
      <c r="F22" s="402"/>
      <c r="G22" s="58">
        <f>'جدول محاسبات'!F9</f>
        <v>0</v>
      </c>
      <c r="H22" s="59">
        <f>'جدول محاسبات'!G9</f>
        <v>0</v>
      </c>
      <c r="I22" s="49"/>
    </row>
    <row r="23" spans="1:9" ht="21">
      <c r="A23" s="49"/>
      <c r="B23" s="68"/>
      <c r="C23" s="69"/>
      <c r="D23" s="400" t="s">
        <v>36</v>
      </c>
      <c r="E23" s="401"/>
      <c r="F23" s="402"/>
      <c r="G23" s="58"/>
      <c r="H23" s="59">
        <f>'جدول محاسبات'!G10</f>
        <v>0</v>
      </c>
      <c r="I23" s="49"/>
    </row>
    <row r="24" spans="1:9" ht="21">
      <c r="A24" s="49"/>
      <c r="B24" s="68"/>
      <c r="C24" s="190"/>
      <c r="D24" s="400" t="s">
        <v>215</v>
      </c>
      <c r="E24" s="401"/>
      <c r="F24" s="402"/>
      <c r="G24" s="58"/>
      <c r="H24" s="59">
        <f>'جدول محاسبات'!G11</f>
        <v>0</v>
      </c>
      <c r="I24" s="49"/>
    </row>
    <row r="25" spans="1:9" ht="21">
      <c r="A25" s="49"/>
      <c r="B25" s="375"/>
      <c r="C25" s="376"/>
      <c r="D25" s="400" t="s">
        <v>200</v>
      </c>
      <c r="E25" s="401"/>
      <c r="F25" s="402"/>
      <c r="G25" s="58"/>
      <c r="H25" s="59">
        <f>'جدول محاسبات'!G12</f>
        <v>0</v>
      </c>
      <c r="I25" s="49"/>
    </row>
    <row r="26" spans="1:9" ht="21">
      <c r="A26" s="49"/>
      <c r="B26" s="377"/>
      <c r="C26" s="378"/>
      <c r="D26" s="400" t="s">
        <v>201</v>
      </c>
      <c r="E26" s="401"/>
      <c r="F26" s="402"/>
      <c r="G26" s="58"/>
      <c r="H26" s="59">
        <f>'جدول محاسبات'!G13</f>
        <v>0</v>
      </c>
      <c r="I26" s="49"/>
    </row>
    <row r="27" spans="1:9" ht="21">
      <c r="A27" s="49"/>
      <c r="B27" s="375"/>
      <c r="C27" s="376"/>
      <c r="D27" s="400" t="s">
        <v>202</v>
      </c>
      <c r="E27" s="401"/>
      <c r="F27" s="402"/>
      <c r="G27" s="58">
        <f>'جدول محاسبات'!F14</f>
        <v>0</v>
      </c>
      <c r="H27" s="59">
        <f>'جدول محاسبات'!G14</f>
        <v>0</v>
      </c>
      <c r="I27" s="49"/>
    </row>
    <row r="28" spans="1:9" ht="21">
      <c r="A28" s="49"/>
      <c r="B28" s="375"/>
      <c r="C28" s="376"/>
      <c r="D28" s="400" t="s">
        <v>203</v>
      </c>
      <c r="E28" s="401"/>
      <c r="F28" s="402"/>
      <c r="G28" s="58"/>
      <c r="H28" s="59">
        <f>'جدول محاسبات'!G15</f>
        <v>0</v>
      </c>
      <c r="I28" s="49"/>
    </row>
    <row r="29" spans="1:9" ht="21">
      <c r="A29" s="70"/>
      <c r="B29" s="377"/>
      <c r="C29" s="379"/>
      <c r="D29" s="400" t="s">
        <v>204</v>
      </c>
      <c r="E29" s="401"/>
      <c r="F29" s="402"/>
      <c r="G29" s="58">
        <f>'جدول محاسبات'!F16</f>
        <v>0</v>
      </c>
      <c r="H29" s="59">
        <f>'جدول محاسبات'!G16</f>
        <v>0</v>
      </c>
      <c r="I29" s="49"/>
    </row>
    <row r="30" spans="1:9" ht="21">
      <c r="A30" s="71"/>
      <c r="B30" s="377"/>
      <c r="C30" s="379"/>
      <c r="D30" s="400" t="s">
        <v>205</v>
      </c>
      <c r="E30" s="401"/>
      <c r="F30" s="402"/>
      <c r="G30" s="58">
        <f>'جدول محاسبات'!F17</f>
        <v>0</v>
      </c>
      <c r="H30" s="59">
        <f>'جدول محاسبات'!G17</f>
        <v>0</v>
      </c>
      <c r="I30" s="49"/>
    </row>
    <row r="31" spans="1:9" ht="21">
      <c r="A31" s="49"/>
      <c r="B31" s="68"/>
      <c r="C31" s="69"/>
      <c r="D31" s="400" t="s">
        <v>206</v>
      </c>
      <c r="E31" s="401"/>
      <c r="F31" s="402"/>
      <c r="G31" s="58">
        <f>'جدول محاسبات'!F18</f>
        <v>0</v>
      </c>
      <c r="H31" s="59">
        <f>'جدول محاسبات'!G18</f>
        <v>0</v>
      </c>
      <c r="I31" s="49"/>
    </row>
    <row r="32" spans="1:9" ht="21">
      <c r="A32" s="49"/>
      <c r="B32" s="56"/>
      <c r="C32" s="57"/>
      <c r="D32" s="400" t="s">
        <v>207</v>
      </c>
      <c r="E32" s="401"/>
      <c r="F32" s="402"/>
      <c r="G32" s="58">
        <f>'جدول محاسبات'!F19</f>
        <v>0</v>
      </c>
      <c r="H32" s="59">
        <f>'جدول محاسبات'!G19</f>
        <v>0</v>
      </c>
      <c r="I32" s="49"/>
    </row>
    <row r="33" spans="1:9" ht="21">
      <c r="A33" s="49"/>
      <c r="B33" s="56"/>
      <c r="C33" s="57"/>
      <c r="D33" s="400" t="s">
        <v>208</v>
      </c>
      <c r="E33" s="401"/>
      <c r="F33" s="402"/>
      <c r="G33" s="58">
        <f>'جدول محاسبات'!F20</f>
        <v>0</v>
      </c>
      <c r="H33" s="59">
        <f>'جدول محاسبات'!G20</f>
        <v>0</v>
      </c>
      <c r="I33" s="49"/>
    </row>
    <row r="34" spans="1:9" ht="21">
      <c r="A34" s="49"/>
      <c r="B34" s="56"/>
      <c r="C34" s="57"/>
      <c r="D34" s="400" t="s">
        <v>209</v>
      </c>
      <c r="E34" s="401"/>
      <c r="F34" s="402"/>
      <c r="G34" s="58"/>
      <c r="H34" s="59">
        <f>'جدول محاسبات'!G21</f>
        <v>0</v>
      </c>
      <c r="I34" s="49"/>
    </row>
    <row r="35" spans="1:9" ht="21">
      <c r="A35" s="49"/>
      <c r="B35" s="56"/>
      <c r="C35" s="57"/>
      <c r="D35" s="400" t="s">
        <v>210</v>
      </c>
      <c r="E35" s="401"/>
      <c r="F35" s="402"/>
      <c r="G35" s="58">
        <f>'جدول محاسبات'!F23</f>
        <v>0</v>
      </c>
      <c r="H35" s="59">
        <f>'جدول محاسبات'!G23</f>
        <v>0</v>
      </c>
      <c r="I35" s="49"/>
    </row>
    <row r="36" spans="1:9" ht="21">
      <c r="A36" s="49"/>
      <c r="B36" s="56"/>
      <c r="C36" s="57"/>
      <c r="D36" s="400" t="s">
        <v>211</v>
      </c>
      <c r="E36" s="401"/>
      <c r="F36" s="402"/>
      <c r="G36" s="58">
        <f>'جدول محاسبات'!F24</f>
        <v>0</v>
      </c>
      <c r="H36" s="59">
        <f>'جدول محاسبات'!G24</f>
        <v>0</v>
      </c>
      <c r="I36" s="49"/>
    </row>
    <row r="37" spans="1:9" ht="21">
      <c r="A37" s="49"/>
      <c r="B37" s="56"/>
      <c r="C37" s="57"/>
      <c r="D37" s="400" t="s">
        <v>212</v>
      </c>
      <c r="E37" s="401"/>
      <c r="F37" s="402"/>
      <c r="G37" s="58"/>
      <c r="H37" s="59">
        <f>'جدول محاسبات'!G26</f>
        <v>67198800</v>
      </c>
      <c r="I37" s="49"/>
    </row>
    <row r="38" spans="1:9" ht="21">
      <c r="A38" s="49"/>
      <c r="B38" s="56"/>
      <c r="C38" s="57"/>
      <c r="D38" s="400" t="s">
        <v>230</v>
      </c>
      <c r="E38" s="401"/>
      <c r="F38" s="402"/>
      <c r="G38" s="58"/>
      <c r="H38" s="59">
        <f>'جدول محاسبات'!G22</f>
        <v>0</v>
      </c>
      <c r="I38" s="49"/>
    </row>
    <row r="39" spans="1:9" ht="21">
      <c r="A39" s="49"/>
      <c r="B39" s="56"/>
      <c r="C39" s="57"/>
      <c r="D39" s="400" t="s">
        <v>256</v>
      </c>
      <c r="E39" s="401"/>
      <c r="F39" s="402"/>
      <c r="G39" s="58"/>
      <c r="H39" s="59">
        <f>'جدول محاسبات'!G29</f>
        <v>0</v>
      </c>
      <c r="I39" s="49"/>
    </row>
    <row r="40" spans="1:9" ht="21">
      <c r="A40" s="49"/>
      <c r="B40" s="56"/>
      <c r="C40" s="57"/>
      <c r="D40" s="400" t="s">
        <v>255</v>
      </c>
      <c r="E40" s="401"/>
      <c r="F40" s="402"/>
      <c r="G40" s="58">
        <v>3000</v>
      </c>
      <c r="H40" s="59">
        <f>'جدول محاسبات'!G28</f>
        <v>12072000</v>
      </c>
      <c r="I40" s="49"/>
    </row>
    <row r="41" spans="1:9" ht="21">
      <c r="A41" s="49"/>
      <c r="B41" s="56"/>
      <c r="C41" s="57"/>
      <c r="D41" s="400" t="s">
        <v>281</v>
      </c>
      <c r="E41" s="401"/>
      <c r="F41" s="402"/>
      <c r="G41" s="58">
        <f>'جدول محاسبات'!F30</f>
        <v>0</v>
      </c>
      <c r="H41" s="59">
        <f>'جدول محاسبات'!G30</f>
        <v>0</v>
      </c>
      <c r="I41" s="49"/>
    </row>
    <row r="42" spans="1:9" ht="21">
      <c r="A42" s="49"/>
      <c r="B42" s="62"/>
      <c r="C42" s="63"/>
      <c r="D42" s="390" t="s">
        <v>9</v>
      </c>
      <c r="E42" s="391"/>
      <c r="F42" s="392"/>
      <c r="G42" s="64">
        <f>SUM(G20:G41)</f>
        <v>3000</v>
      </c>
      <c r="H42" s="65">
        <f>SUM(H20:H41)</f>
        <v>79270800</v>
      </c>
      <c r="I42" s="49"/>
    </row>
    <row r="43" spans="1:9" ht="18">
      <c r="A43" s="49"/>
      <c r="B43" s="369" t="s">
        <v>111</v>
      </c>
      <c r="C43" s="370"/>
      <c r="D43" s="370"/>
      <c r="E43" s="370"/>
      <c r="F43" s="370"/>
      <c r="G43" s="370"/>
      <c r="H43" s="371"/>
      <c r="I43" s="49"/>
    </row>
    <row r="44" spans="1:9" ht="18">
      <c r="A44" s="49"/>
      <c r="B44" s="393" t="s">
        <v>35</v>
      </c>
      <c r="C44" s="394"/>
      <c r="D44" s="394"/>
      <c r="E44" s="394"/>
      <c r="F44" s="394"/>
      <c r="G44" s="394"/>
      <c r="H44" s="395"/>
      <c r="I44" s="49"/>
    </row>
    <row r="45" spans="1:9" ht="19.5">
      <c r="A45" s="49"/>
      <c r="B45" s="396" t="s">
        <v>112</v>
      </c>
      <c r="C45" s="397"/>
      <c r="D45" s="398" t="s">
        <v>79</v>
      </c>
      <c r="E45" s="399"/>
      <c r="F45" s="399"/>
      <c r="G45" s="399"/>
      <c r="H45" s="66"/>
      <c r="I45" s="49"/>
    </row>
    <row r="46" spans="1:9" ht="19.5">
      <c r="A46" s="49"/>
      <c r="B46" s="369" t="s">
        <v>80</v>
      </c>
      <c r="C46" s="370"/>
      <c r="D46" s="380"/>
      <c r="E46" s="380"/>
      <c r="F46" s="381"/>
      <c r="G46" s="382" t="s">
        <v>28</v>
      </c>
      <c r="H46" s="383"/>
      <c r="I46" s="49"/>
    </row>
    <row r="47" spans="1:9" ht="18">
      <c r="A47" s="49"/>
      <c r="B47" s="386" t="s">
        <v>113</v>
      </c>
      <c r="C47" s="387"/>
      <c r="D47" s="67"/>
      <c r="E47" s="67"/>
      <c r="F47" s="67"/>
      <c r="G47" s="382"/>
      <c r="H47" s="383"/>
      <c r="I47" s="49"/>
    </row>
    <row r="48" spans="1:9" ht="18">
      <c r="A48" s="49"/>
      <c r="B48" s="388" t="s">
        <v>27</v>
      </c>
      <c r="C48" s="389"/>
      <c r="D48" s="389" t="s">
        <v>81</v>
      </c>
      <c r="E48" s="389"/>
      <c r="F48" s="389"/>
      <c r="G48" s="384"/>
      <c r="H48" s="385"/>
      <c r="I48" s="49"/>
    </row>
    <row r="49" spans="1:9" ht="18">
      <c r="A49" s="49"/>
      <c r="B49" s="369" t="s">
        <v>82</v>
      </c>
      <c r="C49" s="370"/>
      <c r="D49" s="370"/>
      <c r="E49" s="370"/>
      <c r="F49" s="370"/>
      <c r="G49" s="370"/>
      <c r="H49" s="371"/>
      <c r="I49" s="49"/>
    </row>
    <row r="50" spans="1:9" ht="18.75" thickBot="1">
      <c r="B50" s="372" t="s">
        <v>83</v>
      </c>
      <c r="C50" s="373"/>
      <c r="D50" s="373"/>
      <c r="E50" s="373"/>
      <c r="F50" s="373"/>
      <c r="G50" s="373"/>
      <c r="H50" s="374"/>
    </row>
    <row r="51" spans="1:9">
      <c r="A51" s="49"/>
      <c r="B51" s="49"/>
      <c r="C51" s="49"/>
      <c r="D51" s="49"/>
      <c r="E51" s="49"/>
      <c r="F51" s="49"/>
      <c r="G51" s="49"/>
      <c r="H51" s="49"/>
      <c r="I51" s="49"/>
    </row>
    <row r="52" spans="1:9">
      <c r="A52" s="49"/>
      <c r="D52" s="49"/>
      <c r="E52" s="49"/>
      <c r="F52" s="49"/>
      <c r="G52" s="49"/>
      <c r="H52" s="49"/>
      <c r="I52" s="49"/>
    </row>
    <row r="53" spans="1:9" ht="108" customHeight="1">
      <c r="A53" s="49"/>
      <c r="D53" s="49"/>
      <c r="E53" s="49"/>
      <c r="F53" s="49"/>
      <c r="G53" s="49"/>
      <c r="H53" s="49"/>
      <c r="I53" s="49"/>
    </row>
    <row r="54" spans="1:9">
      <c r="A54" s="49"/>
      <c r="D54" s="49"/>
      <c r="E54" s="49"/>
      <c r="F54" s="49"/>
      <c r="G54" s="49"/>
      <c r="H54" s="49"/>
      <c r="I54" s="49"/>
    </row>
  </sheetData>
  <mergeCells count="78">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43:H43"/>
    <mergeCell ref="B44:H44"/>
    <mergeCell ref="B45:C45"/>
    <mergeCell ref="D45:G45"/>
    <mergeCell ref="D32:F32"/>
    <mergeCell ref="D33:F33"/>
    <mergeCell ref="D38:F38"/>
    <mergeCell ref="D35:F35"/>
    <mergeCell ref="D36:F36"/>
    <mergeCell ref="D34:F34"/>
    <mergeCell ref="D37:F37"/>
    <mergeCell ref="D39:F39"/>
    <mergeCell ref="D40:F40"/>
    <mergeCell ref="D41:F41"/>
    <mergeCell ref="B19:C19"/>
    <mergeCell ref="B49:H49"/>
    <mergeCell ref="B50:H50"/>
    <mergeCell ref="B25:C25"/>
    <mergeCell ref="B26:C26"/>
    <mergeCell ref="B27:C27"/>
    <mergeCell ref="B28:C28"/>
    <mergeCell ref="B29:C29"/>
    <mergeCell ref="B30:C30"/>
    <mergeCell ref="B46:C46"/>
    <mergeCell ref="D46:F46"/>
    <mergeCell ref="G46:H48"/>
    <mergeCell ref="B47:C47"/>
    <mergeCell ref="B48:C48"/>
    <mergeCell ref="D48:F48"/>
    <mergeCell ref="D42:F42"/>
  </mergeCells>
  <hyperlinks>
    <hyperlink ref="B19:C19" location="'ورود اطلاعات'!A1" display="بازگشت به صفحه اصلی" xr:uid="{00000000-0004-0000-0200-000003000000}"/>
  </hyperlinks>
  <printOptions horizontalCentered="1" verticalCentered="1"/>
  <pageMargins left="0.11811023622047245" right="0.11811023622047245" top="0.19685039370078741" bottom="0.15748031496062992" header="0" footer="0"/>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pageSetUpPr fitToPage="1"/>
  </sheetPr>
  <dimension ref="A1:J57"/>
  <sheetViews>
    <sheetView showGridLines="0" showRowColHeaders="0" rightToLeft="1" topLeftCell="A19" workbookViewId="0">
      <selection activeCell="B25" sqref="B25:C25"/>
    </sheetView>
  </sheetViews>
  <sheetFormatPr defaultColWidth="9" defaultRowHeight="15"/>
  <cols>
    <col min="1" max="1" width="3.7109375" style="51" customWidth="1"/>
    <col min="2" max="2" width="34.28515625" style="51" customWidth="1"/>
    <col min="3" max="3" width="15" style="51" customWidth="1"/>
    <col min="4" max="4" width="17.7109375" style="51" customWidth="1"/>
    <col min="5" max="5" width="9.28515625" style="51" customWidth="1"/>
    <col min="6" max="6" width="11" style="51" customWidth="1"/>
    <col min="7" max="7" width="8.7109375" style="51" customWidth="1"/>
    <col min="8" max="9" width="13.7109375" style="51" customWidth="1"/>
    <col min="10" max="10" width="73.85546875" style="49" customWidth="1"/>
    <col min="11" max="11" width="32.28515625" style="51" customWidth="1"/>
    <col min="12" max="16384" width="9" style="51"/>
  </cols>
  <sheetData>
    <row r="1" spans="1:9" ht="29.25" customHeight="1">
      <c r="A1" s="49"/>
      <c r="B1" s="419" t="s">
        <v>266</v>
      </c>
      <c r="C1" s="420" t="s">
        <v>26</v>
      </c>
      <c r="D1" s="420"/>
      <c r="E1" s="420"/>
      <c r="F1" s="50"/>
      <c r="G1" s="50"/>
      <c r="H1" s="50"/>
      <c r="I1" s="49"/>
    </row>
    <row r="2" spans="1:9" ht="18">
      <c r="A2" s="49"/>
      <c r="B2" s="419"/>
      <c r="C2" s="417" t="s">
        <v>37</v>
      </c>
      <c r="D2" s="417"/>
      <c r="E2" s="417"/>
      <c r="F2" s="50"/>
      <c r="G2" s="421" t="s">
        <v>38</v>
      </c>
      <c r="H2" s="421"/>
      <c r="I2" s="49"/>
    </row>
    <row r="3" spans="1:9" ht="10.5" customHeight="1" thickBot="1">
      <c r="A3" s="49"/>
      <c r="B3" s="419"/>
      <c r="C3" s="422"/>
      <c r="D3" s="422"/>
      <c r="E3" s="422"/>
      <c r="F3" s="52"/>
      <c r="G3" s="423"/>
      <c r="H3" s="423"/>
      <c r="I3" s="49"/>
    </row>
    <row r="4" spans="1:9" ht="18">
      <c r="A4" s="49"/>
      <c r="B4" s="424" t="s">
        <v>85</v>
      </c>
      <c r="C4" s="425"/>
      <c r="D4" s="426" t="s">
        <v>84</v>
      </c>
      <c r="E4" s="427"/>
      <c r="F4" s="427"/>
      <c r="G4" s="428"/>
      <c r="H4" s="429"/>
      <c r="I4" s="49"/>
    </row>
    <row r="5" spans="1:9" ht="18">
      <c r="A5" s="49"/>
      <c r="B5" s="430" t="s">
        <v>86</v>
      </c>
      <c r="C5" s="415"/>
      <c r="D5" s="415" t="s">
        <v>87</v>
      </c>
      <c r="E5" s="415"/>
      <c r="F5" s="415"/>
      <c r="G5" s="415" t="s">
        <v>88</v>
      </c>
      <c r="H5" s="416"/>
      <c r="I5" s="49"/>
    </row>
    <row r="6" spans="1:9" ht="18">
      <c r="A6" s="49"/>
      <c r="B6" s="207" t="s">
        <v>89</v>
      </c>
      <c r="C6" s="417" t="s">
        <v>90</v>
      </c>
      <c r="D6" s="417"/>
      <c r="E6" s="417"/>
      <c r="F6" s="418" t="s">
        <v>91</v>
      </c>
      <c r="G6" s="415"/>
      <c r="H6" s="416"/>
      <c r="I6" s="49"/>
    </row>
    <row r="7" spans="1:9" ht="24">
      <c r="A7" s="49"/>
      <c r="B7" s="201" t="s">
        <v>92</v>
      </c>
      <c r="C7" s="415" t="s">
        <v>93</v>
      </c>
      <c r="D7" s="415"/>
      <c r="E7" s="415"/>
      <c r="F7" s="431" t="s">
        <v>94</v>
      </c>
      <c r="G7" s="431"/>
      <c r="H7" s="432"/>
      <c r="I7" s="49"/>
    </row>
    <row r="8" spans="1:9" ht="18">
      <c r="A8" s="49"/>
      <c r="B8" s="206" t="s">
        <v>34</v>
      </c>
      <c r="C8" s="399" t="s">
        <v>95</v>
      </c>
      <c r="D8" s="399"/>
      <c r="E8" s="202"/>
      <c r="F8" s="399" t="s">
        <v>96</v>
      </c>
      <c r="G8" s="399"/>
      <c r="H8" s="204"/>
      <c r="I8" s="49"/>
    </row>
    <row r="9" spans="1:9" ht="18">
      <c r="A9" s="49"/>
      <c r="B9" s="408" t="s">
        <v>97</v>
      </c>
      <c r="C9" s="399"/>
      <c r="D9" s="399" t="s">
        <v>98</v>
      </c>
      <c r="E9" s="399"/>
      <c r="F9" s="399" t="s">
        <v>99</v>
      </c>
      <c r="G9" s="399"/>
      <c r="H9" s="409"/>
      <c r="I9" s="49"/>
    </row>
    <row r="10" spans="1:9" ht="18">
      <c r="A10" s="49"/>
      <c r="B10" s="408" t="s">
        <v>101</v>
      </c>
      <c r="C10" s="399"/>
      <c r="D10" s="399" t="s">
        <v>100</v>
      </c>
      <c r="E10" s="399"/>
      <c r="F10" s="399"/>
      <c r="G10" s="399"/>
      <c r="H10" s="409"/>
      <c r="I10" s="49"/>
    </row>
    <row r="11" spans="1:9" ht="18">
      <c r="A11" s="49"/>
      <c r="B11" s="408" t="s">
        <v>102</v>
      </c>
      <c r="C11" s="399"/>
      <c r="D11" s="53" t="s">
        <v>103</v>
      </c>
      <c r="E11" s="399"/>
      <c r="F11" s="399"/>
      <c r="G11" s="399" t="s">
        <v>104</v>
      </c>
      <c r="H11" s="409"/>
      <c r="I11" s="49"/>
    </row>
    <row r="12" spans="1:9" ht="18">
      <c r="A12" s="49"/>
      <c r="B12" s="203" t="s">
        <v>105</v>
      </c>
      <c r="C12" s="205"/>
      <c r="D12" s="415" t="s">
        <v>106</v>
      </c>
      <c r="E12" s="415"/>
      <c r="F12" s="415"/>
      <c r="G12" s="415"/>
      <c r="H12" s="416"/>
      <c r="I12" s="49"/>
    </row>
    <row r="13" spans="1:9" ht="19.5">
      <c r="A13" s="49"/>
      <c r="B13" s="408" t="s">
        <v>107</v>
      </c>
      <c r="C13" s="399"/>
      <c r="D13" s="399"/>
      <c r="E13" s="399"/>
      <c r="F13" s="399"/>
      <c r="G13" s="399"/>
      <c r="H13" s="409"/>
      <c r="I13" s="49"/>
    </row>
    <row r="14" spans="1:9" ht="18">
      <c r="A14" s="49"/>
      <c r="B14" s="408" t="s">
        <v>77</v>
      </c>
      <c r="C14" s="399"/>
      <c r="D14" s="399"/>
      <c r="E14" s="399"/>
      <c r="F14" s="399"/>
      <c r="G14" s="399"/>
      <c r="H14" s="409"/>
      <c r="I14" s="49"/>
    </row>
    <row r="15" spans="1:9" ht="22.5">
      <c r="A15" s="49"/>
      <c r="B15" s="369" t="s">
        <v>108</v>
      </c>
      <c r="C15" s="410"/>
      <c r="D15" s="411" t="s">
        <v>109</v>
      </c>
      <c r="E15" s="370"/>
      <c r="F15" s="370"/>
      <c r="G15" s="370"/>
      <c r="H15" s="371"/>
      <c r="I15" s="49"/>
    </row>
    <row r="16" spans="1:9" ht="19.5">
      <c r="A16" s="49"/>
      <c r="B16" s="369" t="s">
        <v>110</v>
      </c>
      <c r="C16" s="410"/>
      <c r="D16" s="412" t="s">
        <v>78</v>
      </c>
      <c r="E16" s="413"/>
      <c r="F16" s="414"/>
      <c r="G16" s="54" t="s">
        <v>0</v>
      </c>
      <c r="H16" s="55" t="s">
        <v>1</v>
      </c>
      <c r="I16" s="49"/>
    </row>
    <row r="17" spans="1:9" ht="21" customHeight="1">
      <c r="A17" s="49"/>
      <c r="B17" s="56"/>
      <c r="C17" s="57"/>
      <c r="D17" s="403" t="s">
        <v>2</v>
      </c>
      <c r="E17" s="400" t="s">
        <v>3</v>
      </c>
      <c r="F17" s="402"/>
      <c r="G17" s="58">
        <f>'جدول محاسبات'!H4</f>
        <v>0</v>
      </c>
      <c r="H17" s="59">
        <f>'جدول محاسبات'!I4</f>
        <v>0</v>
      </c>
      <c r="I17" s="49"/>
    </row>
    <row r="18" spans="1:9" ht="21">
      <c r="A18" s="49"/>
      <c r="B18" s="56"/>
      <c r="C18" s="57"/>
      <c r="D18" s="404"/>
      <c r="E18" s="400" t="s">
        <v>4</v>
      </c>
      <c r="F18" s="402"/>
      <c r="G18" s="58">
        <f>'جدول محاسبات'!H5</f>
        <v>0</v>
      </c>
      <c r="H18" s="59">
        <f>'جدول محاسبات'!I5</f>
        <v>0</v>
      </c>
      <c r="I18" s="49"/>
    </row>
    <row r="19" spans="1:9" ht="21">
      <c r="A19" s="49"/>
      <c r="B19" s="56"/>
      <c r="C19" s="57"/>
      <c r="D19" s="404"/>
      <c r="E19" s="400" t="s">
        <v>5</v>
      </c>
      <c r="F19" s="402"/>
      <c r="G19" s="58">
        <f>'جدول محاسبات'!H6</f>
        <v>0</v>
      </c>
      <c r="H19" s="59">
        <f>'جدول محاسبات'!I6</f>
        <v>0</v>
      </c>
      <c r="I19" s="49"/>
    </row>
    <row r="20" spans="1:9" ht="21">
      <c r="A20" s="49"/>
      <c r="B20" s="433"/>
      <c r="C20" s="434"/>
      <c r="D20" s="405"/>
      <c r="E20" s="406" t="s">
        <v>6</v>
      </c>
      <c r="F20" s="407"/>
      <c r="G20" s="60">
        <f>SUM(G17:G19)</f>
        <v>0</v>
      </c>
      <c r="H20" s="61">
        <f>SUM(H17:H19)</f>
        <v>0</v>
      </c>
      <c r="I20" s="49"/>
    </row>
    <row r="21" spans="1:9" ht="21">
      <c r="A21" s="49"/>
      <c r="B21" s="435"/>
      <c r="C21" s="436"/>
      <c r="D21" s="400" t="s">
        <v>7</v>
      </c>
      <c r="E21" s="401"/>
      <c r="F21" s="402"/>
      <c r="G21" s="58"/>
      <c r="H21" s="59">
        <f>'جدول محاسبات'!I8</f>
        <v>0</v>
      </c>
      <c r="I21" s="49"/>
    </row>
    <row r="22" spans="1:9" ht="21">
      <c r="A22" s="49"/>
      <c r="B22" s="433"/>
      <c r="C22" s="434"/>
      <c r="D22" s="400" t="s">
        <v>8</v>
      </c>
      <c r="E22" s="401"/>
      <c r="F22" s="402"/>
      <c r="G22" s="58">
        <f>'جدول محاسبات'!H9</f>
        <v>0</v>
      </c>
      <c r="H22" s="59">
        <f>'جدول محاسبات'!I9</f>
        <v>0</v>
      </c>
      <c r="I22" s="49"/>
    </row>
    <row r="23" spans="1:9" ht="21">
      <c r="A23" s="49"/>
      <c r="B23" s="433"/>
      <c r="C23" s="434"/>
      <c r="D23" s="400" t="s">
        <v>36</v>
      </c>
      <c r="E23" s="401"/>
      <c r="F23" s="402"/>
      <c r="G23" s="58"/>
      <c r="H23" s="59">
        <f>'جدول محاسبات'!I10</f>
        <v>0</v>
      </c>
      <c r="I23" s="49"/>
    </row>
    <row r="24" spans="1:9" ht="21">
      <c r="A24" s="49"/>
      <c r="B24" s="437"/>
      <c r="C24" s="438"/>
      <c r="D24" s="400" t="s">
        <v>215</v>
      </c>
      <c r="E24" s="401"/>
      <c r="F24" s="402"/>
      <c r="G24" s="58"/>
      <c r="H24" s="59">
        <f>'جدول محاسبات'!I11</f>
        <v>0</v>
      </c>
      <c r="I24" s="49"/>
    </row>
    <row r="25" spans="1:9" ht="21">
      <c r="A25" s="49"/>
      <c r="B25" s="437"/>
      <c r="C25" s="438"/>
      <c r="D25" s="400" t="s">
        <v>200</v>
      </c>
      <c r="E25" s="401"/>
      <c r="F25" s="402"/>
      <c r="G25" s="58"/>
      <c r="H25" s="59">
        <f>'جدول محاسبات'!I12</f>
        <v>0</v>
      </c>
      <c r="I25" s="49"/>
    </row>
    <row r="26" spans="1:9" ht="21">
      <c r="A26" s="49"/>
      <c r="B26" s="56"/>
      <c r="C26" s="57"/>
      <c r="D26" s="400" t="s">
        <v>201</v>
      </c>
      <c r="E26" s="401"/>
      <c r="F26" s="402"/>
      <c r="G26" s="58"/>
      <c r="H26" s="59">
        <f>'جدول محاسبات'!I13</f>
        <v>0</v>
      </c>
      <c r="I26" s="49"/>
    </row>
    <row r="27" spans="1:9" ht="21">
      <c r="A27" s="49"/>
      <c r="B27" s="56"/>
      <c r="C27" s="57"/>
      <c r="D27" s="400" t="s">
        <v>202</v>
      </c>
      <c r="E27" s="401"/>
      <c r="F27" s="402"/>
      <c r="G27" s="58">
        <f>'جدول محاسبات'!H14</f>
        <v>0</v>
      </c>
      <c r="H27" s="59">
        <f>'جدول محاسبات'!I14</f>
        <v>0</v>
      </c>
      <c r="I27" s="49"/>
    </row>
    <row r="28" spans="1:9" ht="21">
      <c r="A28" s="49"/>
      <c r="B28" s="56"/>
      <c r="C28" s="57"/>
      <c r="D28" s="400" t="s">
        <v>203</v>
      </c>
      <c r="E28" s="401"/>
      <c r="F28" s="402"/>
      <c r="G28" s="58"/>
      <c r="H28" s="59">
        <f>'جدول محاسبات'!I15</f>
        <v>0</v>
      </c>
      <c r="I28" s="49"/>
    </row>
    <row r="29" spans="1:9" ht="21">
      <c r="A29" s="49"/>
      <c r="B29" s="56"/>
      <c r="C29" s="57"/>
      <c r="D29" s="400" t="s">
        <v>204</v>
      </c>
      <c r="E29" s="401"/>
      <c r="F29" s="402"/>
      <c r="G29" s="58">
        <f>'جدول محاسبات'!H16</f>
        <v>0</v>
      </c>
      <c r="H29" s="59">
        <f>'جدول محاسبات'!I16</f>
        <v>0</v>
      </c>
      <c r="I29" s="49"/>
    </row>
    <row r="30" spans="1:9" ht="21">
      <c r="A30" s="49"/>
      <c r="B30" s="56"/>
      <c r="C30" s="57"/>
      <c r="D30" s="400" t="s">
        <v>205</v>
      </c>
      <c r="E30" s="401"/>
      <c r="F30" s="402"/>
      <c r="G30" s="58">
        <f>'جدول محاسبات'!H17</f>
        <v>0</v>
      </c>
      <c r="H30" s="59">
        <f>'جدول محاسبات'!I17</f>
        <v>0</v>
      </c>
      <c r="I30" s="49"/>
    </row>
    <row r="31" spans="1:9" ht="24">
      <c r="A31" s="49"/>
      <c r="B31" s="439" t="s">
        <v>115</v>
      </c>
      <c r="C31" s="440"/>
      <c r="D31" s="400" t="s">
        <v>206</v>
      </c>
      <c r="E31" s="401"/>
      <c r="F31" s="402"/>
      <c r="G31" s="58">
        <f>'جدول محاسبات'!H18</f>
        <v>0</v>
      </c>
      <c r="H31" s="59">
        <f>'جدول محاسبات'!I18</f>
        <v>0</v>
      </c>
      <c r="I31" s="49"/>
    </row>
    <row r="32" spans="1:9" ht="21">
      <c r="A32" s="49"/>
      <c r="B32" s="441"/>
      <c r="C32" s="442"/>
      <c r="D32" s="400" t="s">
        <v>207</v>
      </c>
      <c r="E32" s="401"/>
      <c r="F32" s="402"/>
      <c r="G32" s="58">
        <f>'جدول محاسبات'!H19</f>
        <v>0</v>
      </c>
      <c r="H32" s="59">
        <f>'جدول محاسبات'!I19</f>
        <v>0</v>
      </c>
      <c r="I32" s="49"/>
    </row>
    <row r="33" spans="1:9" ht="21">
      <c r="A33" s="49"/>
      <c r="B33" s="56"/>
      <c r="C33" s="57"/>
      <c r="D33" s="400" t="s">
        <v>208</v>
      </c>
      <c r="E33" s="401"/>
      <c r="F33" s="402"/>
      <c r="G33" s="58">
        <f>'جدول محاسبات'!H20</f>
        <v>0</v>
      </c>
      <c r="H33" s="59">
        <f>'جدول محاسبات'!I20</f>
        <v>0</v>
      </c>
      <c r="I33" s="49"/>
    </row>
    <row r="34" spans="1:9" ht="21">
      <c r="A34" s="49"/>
      <c r="B34" s="56"/>
      <c r="C34" s="57"/>
      <c r="D34" s="400" t="s">
        <v>209</v>
      </c>
      <c r="E34" s="401"/>
      <c r="F34" s="402"/>
      <c r="G34" s="58"/>
      <c r="H34" s="59">
        <f>'جدول محاسبات'!I21</f>
        <v>0</v>
      </c>
      <c r="I34" s="49"/>
    </row>
    <row r="35" spans="1:9" ht="21">
      <c r="A35" s="49"/>
      <c r="B35" s="56"/>
      <c r="C35" s="57"/>
      <c r="D35" s="400" t="s">
        <v>243</v>
      </c>
      <c r="E35" s="401"/>
      <c r="F35" s="402"/>
      <c r="G35" s="58"/>
      <c r="H35" s="59">
        <f>'جدول محاسبات'!I25</f>
        <v>0</v>
      </c>
      <c r="I35" s="49"/>
    </row>
    <row r="36" spans="1:9" ht="21">
      <c r="A36" s="49"/>
      <c r="B36" s="56"/>
      <c r="C36" s="57"/>
      <c r="D36" s="400" t="s">
        <v>284</v>
      </c>
      <c r="E36" s="401"/>
      <c r="F36" s="402"/>
      <c r="G36" s="58"/>
      <c r="H36" s="59">
        <f>'جدول محاسبات'!I27</f>
        <v>85513000</v>
      </c>
      <c r="I36" s="49"/>
    </row>
    <row r="37" spans="1:9" ht="21">
      <c r="A37" s="49"/>
      <c r="B37" s="56"/>
      <c r="C37" s="57"/>
      <c r="D37" s="400" t="s">
        <v>253</v>
      </c>
      <c r="E37" s="401"/>
      <c r="F37" s="402"/>
      <c r="G37" s="58"/>
      <c r="H37" s="227">
        <f>'جدول محاسبات'!I29</f>
        <v>0</v>
      </c>
      <c r="I37" s="49"/>
    </row>
    <row r="38" spans="1:9" ht="21">
      <c r="A38" s="49"/>
      <c r="B38" s="56"/>
      <c r="C38" s="57"/>
      <c r="D38" s="400" t="s">
        <v>230</v>
      </c>
      <c r="E38" s="401"/>
      <c r="F38" s="402"/>
      <c r="G38" s="58"/>
      <c r="H38" s="59">
        <f>'جدول محاسبات'!I22</f>
        <v>0</v>
      </c>
      <c r="I38" s="49"/>
    </row>
    <row r="39" spans="1:9" ht="21">
      <c r="A39" s="49"/>
      <c r="B39" s="56"/>
      <c r="C39" s="57"/>
      <c r="D39" s="400" t="s">
        <v>254</v>
      </c>
      <c r="E39" s="401"/>
      <c r="F39" s="402"/>
      <c r="G39" s="58">
        <v>3000</v>
      </c>
      <c r="H39" s="59">
        <f>'جدول محاسبات'!I28</f>
        <v>14487000</v>
      </c>
      <c r="I39" s="49"/>
    </row>
    <row r="40" spans="1:9" ht="21">
      <c r="A40" s="49"/>
      <c r="B40" s="56"/>
      <c r="C40" s="57"/>
      <c r="D40" s="400" t="s">
        <v>281</v>
      </c>
      <c r="E40" s="401"/>
      <c r="F40" s="402"/>
      <c r="G40" s="58">
        <f>'جدول محاسبات'!H30</f>
        <v>0</v>
      </c>
      <c r="H40" s="59">
        <f>'جدول محاسبات'!I30</f>
        <v>0</v>
      </c>
      <c r="I40" s="49"/>
    </row>
    <row r="41" spans="1:9" ht="20.100000000000001" customHeight="1">
      <c r="A41" s="49"/>
      <c r="B41" s="62"/>
      <c r="C41" s="63"/>
      <c r="D41" s="390" t="s">
        <v>9</v>
      </c>
      <c r="E41" s="391"/>
      <c r="F41" s="392"/>
      <c r="G41" s="64">
        <f>SUM(G20:G40)</f>
        <v>3000</v>
      </c>
      <c r="H41" s="65">
        <f>SUM(H20:H40)</f>
        <v>100000000</v>
      </c>
      <c r="I41" s="49"/>
    </row>
    <row r="42" spans="1:9" ht="18">
      <c r="A42" s="49"/>
      <c r="B42" s="369" t="s">
        <v>111</v>
      </c>
      <c r="C42" s="370"/>
      <c r="D42" s="370"/>
      <c r="E42" s="370"/>
      <c r="F42" s="370"/>
      <c r="G42" s="370"/>
      <c r="H42" s="371"/>
      <c r="I42" s="49"/>
    </row>
    <row r="43" spans="1:9" ht="18">
      <c r="A43" s="49"/>
      <c r="B43" s="393" t="s">
        <v>35</v>
      </c>
      <c r="C43" s="394"/>
      <c r="D43" s="394"/>
      <c r="E43" s="394"/>
      <c r="F43" s="394"/>
      <c r="G43" s="394"/>
      <c r="H43" s="395"/>
      <c r="I43" s="49"/>
    </row>
    <row r="44" spans="1:9" ht="19.5">
      <c r="A44" s="49"/>
      <c r="B44" s="396" t="s">
        <v>112</v>
      </c>
      <c r="C44" s="397"/>
      <c r="D44" s="398" t="s">
        <v>79</v>
      </c>
      <c r="E44" s="399"/>
      <c r="F44" s="399"/>
      <c r="G44" s="399"/>
      <c r="H44" s="66"/>
      <c r="I44" s="49"/>
    </row>
    <row r="45" spans="1:9" ht="19.5">
      <c r="A45" s="49"/>
      <c r="B45" s="369" t="s">
        <v>80</v>
      </c>
      <c r="C45" s="370"/>
      <c r="D45" s="380"/>
      <c r="E45" s="380"/>
      <c r="F45" s="381"/>
      <c r="G45" s="382" t="s">
        <v>28</v>
      </c>
      <c r="H45" s="383"/>
      <c r="I45" s="49"/>
    </row>
    <row r="46" spans="1:9" ht="18">
      <c r="A46" s="49"/>
      <c r="B46" s="386" t="s">
        <v>113</v>
      </c>
      <c r="C46" s="387"/>
      <c r="D46" s="67"/>
      <c r="E46" s="67"/>
      <c r="F46" s="67"/>
      <c r="G46" s="382"/>
      <c r="H46" s="383"/>
      <c r="I46" s="49"/>
    </row>
    <row r="47" spans="1:9" ht="18">
      <c r="A47" s="49"/>
      <c r="B47" s="388" t="s">
        <v>27</v>
      </c>
      <c r="C47" s="389"/>
      <c r="D47" s="389" t="s">
        <v>81</v>
      </c>
      <c r="E47" s="389"/>
      <c r="F47" s="389"/>
      <c r="G47" s="384"/>
      <c r="H47" s="385"/>
      <c r="I47" s="49"/>
    </row>
    <row r="48" spans="1:9" ht="18">
      <c r="A48" s="49"/>
      <c r="B48" s="369" t="s">
        <v>82</v>
      </c>
      <c r="C48" s="370"/>
      <c r="D48" s="370"/>
      <c r="E48" s="370"/>
      <c r="F48" s="370"/>
      <c r="G48" s="370"/>
      <c r="H48" s="371"/>
      <c r="I48" s="49"/>
    </row>
    <row r="49" spans="1:9" ht="18.75" thickBot="1">
      <c r="B49" s="372" t="s">
        <v>83</v>
      </c>
      <c r="C49" s="373"/>
      <c r="D49" s="373"/>
      <c r="E49" s="373"/>
      <c r="F49" s="373"/>
      <c r="G49" s="373"/>
      <c r="H49" s="374"/>
    </row>
    <row r="50" spans="1:9">
      <c r="A50" s="49"/>
      <c r="B50" s="49"/>
      <c r="C50" s="49"/>
      <c r="D50" s="49"/>
      <c r="E50" s="49"/>
      <c r="F50" s="49"/>
      <c r="G50" s="49"/>
      <c r="H50" s="49"/>
      <c r="I50" s="49"/>
    </row>
    <row r="51" spans="1:9" ht="143.25" customHeight="1">
      <c r="A51" s="49"/>
      <c r="D51" s="49"/>
      <c r="E51" s="49"/>
      <c r="F51" s="49"/>
      <c r="G51" s="49"/>
      <c r="H51" s="49"/>
      <c r="I51" s="49"/>
    </row>
    <row r="52" spans="1:9">
      <c r="A52" s="49"/>
      <c r="D52" s="49"/>
      <c r="E52" s="49"/>
      <c r="F52" s="49"/>
      <c r="G52" s="49"/>
      <c r="H52" s="49"/>
      <c r="I52" s="49"/>
    </row>
    <row r="53" spans="1:9">
      <c r="A53" s="49"/>
      <c r="D53" s="49"/>
      <c r="E53" s="49"/>
      <c r="F53" s="49"/>
      <c r="G53" s="49"/>
      <c r="H53" s="49"/>
      <c r="I53" s="49"/>
    </row>
    <row r="54" spans="1:9">
      <c r="A54" s="49"/>
      <c r="D54" s="49"/>
      <c r="E54" s="49"/>
      <c r="F54" s="49"/>
      <c r="G54" s="49"/>
      <c r="H54" s="49"/>
      <c r="I54" s="49"/>
    </row>
    <row r="55" spans="1:9">
      <c r="A55" s="49"/>
      <c r="D55" s="49"/>
      <c r="E55" s="49"/>
      <c r="F55" s="49"/>
      <c r="G55" s="49"/>
      <c r="H55" s="49"/>
      <c r="I55" s="49"/>
    </row>
    <row r="56" spans="1:9">
      <c r="A56" s="49"/>
      <c r="D56" s="49"/>
      <c r="E56" s="49"/>
      <c r="F56" s="49"/>
      <c r="G56" s="49"/>
      <c r="H56" s="49"/>
      <c r="I56" s="49"/>
    </row>
    <row r="57" spans="1:9">
      <c r="A57" s="49"/>
      <c r="B57" s="49"/>
      <c r="C57" s="49"/>
      <c r="D57" s="49"/>
      <c r="E57" s="49"/>
      <c r="F57" s="49"/>
      <c r="G57" s="49"/>
      <c r="H57" s="49"/>
      <c r="I57" s="49"/>
    </row>
  </sheetData>
  <mergeCells count="78">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G45:H47"/>
    <mergeCell ref="B46:C46"/>
    <mergeCell ref="B47:C47"/>
    <mergeCell ref="D47:F47"/>
    <mergeCell ref="D32:F32"/>
    <mergeCell ref="D33:F33"/>
    <mergeCell ref="D38:F38"/>
    <mergeCell ref="D41:F41"/>
    <mergeCell ref="D34:F34"/>
    <mergeCell ref="D37:F37"/>
    <mergeCell ref="D36:F36"/>
    <mergeCell ref="D35:F35"/>
    <mergeCell ref="D39:F39"/>
    <mergeCell ref="D40:F40"/>
    <mergeCell ref="B48:H48"/>
    <mergeCell ref="B49:H49"/>
    <mergeCell ref="B20:C20"/>
    <mergeCell ref="B21:C21"/>
    <mergeCell ref="B22:C22"/>
    <mergeCell ref="B23:C23"/>
    <mergeCell ref="B24:C24"/>
    <mergeCell ref="B25:C25"/>
    <mergeCell ref="B31:C31"/>
    <mergeCell ref="B32:C32"/>
    <mergeCell ref="B42:H42"/>
    <mergeCell ref="B43:H43"/>
    <mergeCell ref="B44:C44"/>
    <mergeCell ref="D44:G44"/>
    <mergeCell ref="B45:C45"/>
    <mergeCell ref="D45:F45"/>
  </mergeCells>
  <hyperlinks>
    <hyperlink ref="B31:C31"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L45"/>
  <sheetViews>
    <sheetView rightToLeft="1" workbookViewId="0">
      <selection activeCell="C27" sqref="C27"/>
    </sheetView>
  </sheetViews>
  <sheetFormatPr defaultRowHeight="15"/>
  <cols>
    <col min="2" max="2" width="14.85546875" customWidth="1"/>
    <col min="3" max="3" width="16" customWidth="1"/>
    <col min="9" max="9" width="20.28515625" customWidth="1"/>
    <col min="10" max="10" width="23.7109375" customWidth="1"/>
    <col min="11" max="11" width="9.7109375" bestFit="1" customWidth="1"/>
    <col min="12" max="12" width="11.7109375" customWidth="1"/>
  </cols>
  <sheetData>
    <row r="2" spans="2:12">
      <c r="B2" s="238">
        <f>'ورود اطلاعات'!F6</f>
        <v>0</v>
      </c>
      <c r="C2" s="238">
        <f>B2*3048</f>
        <v>0</v>
      </c>
      <c r="E2" t="s">
        <v>161</v>
      </c>
      <c r="F2">
        <v>0</v>
      </c>
      <c r="G2">
        <v>0</v>
      </c>
      <c r="H2">
        <v>0</v>
      </c>
      <c r="I2">
        <v>0</v>
      </c>
      <c r="J2">
        <v>0</v>
      </c>
      <c r="K2">
        <v>0</v>
      </c>
      <c r="L2">
        <v>0</v>
      </c>
    </row>
    <row r="3" spans="2:12">
      <c r="B3" s="238">
        <f>'ورود اطلاعات'!F7</f>
        <v>0</v>
      </c>
      <c r="C3" s="238">
        <f>B3*3048</f>
        <v>0</v>
      </c>
      <c r="E3">
        <v>1360</v>
      </c>
      <c r="F3">
        <v>1822.5</v>
      </c>
      <c r="G3">
        <v>2280</v>
      </c>
      <c r="H3">
        <v>1</v>
      </c>
      <c r="I3">
        <v>1</v>
      </c>
      <c r="J3">
        <v>45</v>
      </c>
      <c r="K3" s="251">
        <f>J8*J3%</f>
        <v>0</v>
      </c>
      <c r="L3" s="251">
        <f>J9*J3%</f>
        <v>0</v>
      </c>
    </row>
    <row r="4" spans="2:12" ht="24">
      <c r="C4" s="195">
        <f>SUM(C2:C3)</f>
        <v>0</v>
      </c>
      <c r="E4">
        <v>1361</v>
      </c>
      <c r="F4">
        <v>1822.5</v>
      </c>
      <c r="G4">
        <v>2280</v>
      </c>
      <c r="H4">
        <v>2</v>
      </c>
      <c r="I4">
        <v>2</v>
      </c>
      <c r="J4">
        <v>55</v>
      </c>
      <c r="K4" s="251">
        <f>J8*J4%</f>
        <v>0</v>
      </c>
      <c r="L4" s="251">
        <f>J9*J4%</f>
        <v>0</v>
      </c>
    </row>
    <row r="5" spans="2:12">
      <c r="E5">
        <v>1362</v>
      </c>
      <c r="F5">
        <v>1822.5</v>
      </c>
      <c r="G5">
        <v>2280</v>
      </c>
      <c r="H5">
        <v>3</v>
      </c>
      <c r="I5">
        <v>3</v>
      </c>
      <c r="J5">
        <v>65</v>
      </c>
      <c r="K5" s="251">
        <f>J8*J5%</f>
        <v>0</v>
      </c>
      <c r="L5" s="251">
        <f>J9*J5%</f>
        <v>0</v>
      </c>
    </row>
    <row r="6" spans="2:12">
      <c r="E6">
        <v>1363</v>
      </c>
      <c r="F6">
        <v>1822.5</v>
      </c>
      <c r="G6">
        <v>2280</v>
      </c>
      <c r="H6">
        <v>4</v>
      </c>
      <c r="I6">
        <v>4</v>
      </c>
      <c r="J6">
        <v>75</v>
      </c>
      <c r="K6" s="251">
        <f>J8*J6%</f>
        <v>0</v>
      </c>
      <c r="L6" s="251">
        <f>J9*J6%</f>
        <v>0</v>
      </c>
    </row>
    <row r="7" spans="2:12">
      <c r="E7">
        <v>1364</v>
      </c>
      <c r="F7">
        <v>1822.5</v>
      </c>
      <c r="G7">
        <v>2280</v>
      </c>
      <c r="H7">
        <v>5</v>
      </c>
      <c r="I7">
        <v>5</v>
      </c>
      <c r="J7">
        <v>90</v>
      </c>
      <c r="K7" s="251">
        <f>J8*J7%</f>
        <v>0</v>
      </c>
      <c r="L7" s="251">
        <f>J9*J7%</f>
        <v>0</v>
      </c>
    </row>
    <row r="8" spans="2:12">
      <c r="C8" t="s">
        <v>12</v>
      </c>
      <c r="E8">
        <v>1365</v>
      </c>
      <c r="F8">
        <v>1822.5</v>
      </c>
      <c r="G8">
        <v>2280</v>
      </c>
      <c r="H8">
        <v>6</v>
      </c>
      <c r="I8" t="s">
        <v>249</v>
      </c>
      <c r="J8" s="250">
        <f>'جدول محاسبات'!G4+'جدول محاسبات'!G6+'جدول محاسبات'!G9</f>
        <v>0</v>
      </c>
    </row>
    <row r="9" spans="2:12">
      <c r="C9" t="s">
        <v>13</v>
      </c>
      <c r="E9">
        <v>1366</v>
      </c>
      <c r="F9">
        <v>1822.5</v>
      </c>
      <c r="G9">
        <v>2280</v>
      </c>
      <c r="H9">
        <v>7</v>
      </c>
      <c r="I9" t="s">
        <v>250</v>
      </c>
      <c r="J9" s="251">
        <f>'جدول محاسبات'!I4+'جدول محاسبات'!I6+'جدول محاسبات'!I9</f>
        <v>0</v>
      </c>
    </row>
    <row r="10" spans="2:12">
      <c r="E10">
        <v>1367</v>
      </c>
      <c r="F10">
        <v>1822.5</v>
      </c>
      <c r="G10">
        <v>2280</v>
      </c>
      <c r="H10">
        <v>8</v>
      </c>
    </row>
    <row r="11" spans="2:12">
      <c r="E11">
        <v>1368</v>
      </c>
      <c r="F11">
        <v>1822.5</v>
      </c>
      <c r="G11">
        <v>2280</v>
      </c>
      <c r="H11">
        <v>9</v>
      </c>
    </row>
    <row r="12" spans="2:12">
      <c r="E12">
        <v>1369</v>
      </c>
      <c r="F12">
        <v>1822.5</v>
      </c>
      <c r="G12">
        <v>2280</v>
      </c>
      <c r="K12" t="s">
        <v>246</v>
      </c>
      <c r="L12">
        <f>'ورود اطلاعات'!C17*630</f>
        <v>0</v>
      </c>
    </row>
    <row r="13" spans="2:12">
      <c r="E13">
        <v>1370</v>
      </c>
      <c r="F13">
        <v>1822.5</v>
      </c>
      <c r="G13">
        <v>2280</v>
      </c>
      <c r="K13">
        <v>1401</v>
      </c>
      <c r="L13">
        <f>Sheet1!J32*1890</f>
        <v>0</v>
      </c>
    </row>
    <row r="14" spans="2:12">
      <c r="E14">
        <v>1371</v>
      </c>
      <c r="F14">
        <v>1822.5</v>
      </c>
      <c r="G14">
        <v>2280</v>
      </c>
      <c r="K14">
        <v>1402</v>
      </c>
      <c r="L14">
        <v>0</v>
      </c>
    </row>
    <row r="15" spans="2:12">
      <c r="E15">
        <v>1372</v>
      </c>
      <c r="F15">
        <v>1822.5</v>
      </c>
      <c r="G15">
        <v>2280</v>
      </c>
    </row>
    <row r="16" spans="2:12">
      <c r="E16">
        <v>1373</v>
      </c>
      <c r="F16">
        <v>1822.5</v>
      </c>
      <c r="G16">
        <v>2280</v>
      </c>
    </row>
    <row r="17" spans="5:10">
      <c r="E17">
        <v>1374</v>
      </c>
      <c r="F17">
        <v>1822.5</v>
      </c>
      <c r="G17">
        <v>2280</v>
      </c>
    </row>
    <row r="18" spans="5:10">
      <c r="E18">
        <v>1375</v>
      </c>
      <c r="F18">
        <v>1822.5</v>
      </c>
      <c r="G18">
        <v>2280</v>
      </c>
    </row>
    <row r="19" spans="5:10">
      <c r="E19">
        <v>1376</v>
      </c>
      <c r="F19">
        <v>1822.5</v>
      </c>
      <c r="G19">
        <v>2280</v>
      </c>
      <c r="H19" s="254" t="s">
        <v>270</v>
      </c>
      <c r="I19" s="254">
        <v>2900</v>
      </c>
      <c r="J19" s="254">
        <f>I19*1.3</f>
        <v>3770</v>
      </c>
    </row>
    <row r="20" spans="5:10">
      <c r="E20">
        <v>1377</v>
      </c>
      <c r="F20">
        <v>1822.5</v>
      </c>
      <c r="G20">
        <v>2280</v>
      </c>
      <c r="H20" s="254" t="s">
        <v>271</v>
      </c>
      <c r="I20" s="254">
        <v>1780</v>
      </c>
      <c r="J20" s="254">
        <f>I20*1.3</f>
        <v>2314</v>
      </c>
    </row>
    <row r="21" spans="5:10">
      <c r="E21">
        <v>1378</v>
      </c>
      <c r="F21">
        <v>1822.5</v>
      </c>
      <c r="G21">
        <v>2280</v>
      </c>
      <c r="H21" s="254" t="s">
        <v>273</v>
      </c>
      <c r="I21" s="254">
        <f>IF('ورود اطلاعات'!C16="بلی",1,0)</f>
        <v>0</v>
      </c>
      <c r="J21" s="254" t="b">
        <f>AND(I21&gt;0,I22&gt;2)</f>
        <v>0</v>
      </c>
    </row>
    <row r="22" spans="5:10">
      <c r="E22">
        <v>1379</v>
      </c>
      <c r="F22">
        <v>1822.5</v>
      </c>
      <c r="G22">
        <v>2280</v>
      </c>
      <c r="H22" s="254" t="s">
        <v>272</v>
      </c>
      <c r="I22" s="255">
        <f>'ورود اطلاعات'!C17</f>
        <v>0</v>
      </c>
      <c r="J22" s="255">
        <f>I22-2</f>
        <v>-2</v>
      </c>
    </row>
    <row r="23" spans="5:10">
      <c r="E23">
        <v>1380</v>
      </c>
      <c r="F23">
        <v>1822.5</v>
      </c>
      <c r="G23">
        <v>2280</v>
      </c>
    </row>
    <row r="24" spans="5:10">
      <c r="E24">
        <v>1381</v>
      </c>
      <c r="F24">
        <v>1822.5</v>
      </c>
      <c r="G24">
        <v>2280</v>
      </c>
    </row>
    <row r="25" spans="5:10">
      <c r="E25">
        <v>1382</v>
      </c>
      <c r="F25">
        <v>1822.5</v>
      </c>
      <c r="G25">
        <v>2280</v>
      </c>
    </row>
    <row r="26" spans="5:10">
      <c r="E26">
        <v>1383</v>
      </c>
      <c r="F26">
        <v>1822.5</v>
      </c>
      <c r="G26">
        <v>2280</v>
      </c>
    </row>
    <row r="27" spans="5:10">
      <c r="E27">
        <v>1384</v>
      </c>
      <c r="F27">
        <v>1822.5</v>
      </c>
      <c r="G27">
        <v>2280</v>
      </c>
    </row>
    <row r="28" spans="5:10">
      <c r="E28">
        <v>1385</v>
      </c>
      <c r="F28">
        <v>1822.5</v>
      </c>
      <c r="G28">
        <v>2280</v>
      </c>
    </row>
    <row r="29" spans="5:10">
      <c r="E29">
        <v>1386</v>
      </c>
      <c r="F29">
        <v>1822.5</v>
      </c>
      <c r="G29">
        <v>2280</v>
      </c>
    </row>
    <row r="30" spans="5:10">
      <c r="E30">
        <v>1387</v>
      </c>
      <c r="F30">
        <v>1822.5</v>
      </c>
      <c r="G30">
        <v>2280</v>
      </c>
    </row>
    <row r="31" spans="5:10">
      <c r="E31">
        <v>1388</v>
      </c>
      <c r="F31">
        <v>1822.5</v>
      </c>
      <c r="G31">
        <v>2280</v>
      </c>
    </row>
    <row r="32" spans="5:10" ht="19.5">
      <c r="E32">
        <v>1389</v>
      </c>
      <c r="F32">
        <v>1822.5</v>
      </c>
      <c r="G32">
        <v>2280</v>
      </c>
      <c r="I32" s="253" t="s">
        <v>244</v>
      </c>
      <c r="J32" s="193">
        <v>0</v>
      </c>
    </row>
    <row r="33" spans="5:10" ht="19.5">
      <c r="E33">
        <v>1390</v>
      </c>
      <c r="F33">
        <v>1822.5</v>
      </c>
      <c r="G33">
        <v>2280</v>
      </c>
      <c r="I33" s="253" t="s">
        <v>245</v>
      </c>
      <c r="J33" s="193">
        <v>0</v>
      </c>
    </row>
    <row r="34" spans="5:10">
      <c r="E34">
        <v>1391</v>
      </c>
      <c r="F34">
        <v>1822.5</v>
      </c>
      <c r="G34">
        <v>2280</v>
      </c>
    </row>
    <row r="35" spans="5:10" ht="20.25">
      <c r="E35">
        <v>1392</v>
      </c>
      <c r="F35">
        <v>1822.5</v>
      </c>
      <c r="G35">
        <v>2280</v>
      </c>
      <c r="I35" s="443" t="s">
        <v>224</v>
      </c>
      <c r="J35" s="443"/>
    </row>
    <row r="36" spans="5:10">
      <c r="E36">
        <v>1393</v>
      </c>
      <c r="F36">
        <v>1822.5</v>
      </c>
      <c r="G36">
        <v>2280</v>
      </c>
    </row>
    <row r="37" spans="5:10">
      <c r="E37">
        <v>1394</v>
      </c>
      <c r="F37">
        <v>1822.5</v>
      </c>
      <c r="G37">
        <v>2280</v>
      </c>
    </row>
    <row r="38" spans="5:10">
      <c r="E38">
        <v>1395</v>
      </c>
      <c r="F38">
        <v>1822.5</v>
      </c>
      <c r="G38">
        <v>2280</v>
      </c>
    </row>
    <row r="39" spans="5:10">
      <c r="E39">
        <v>1396</v>
      </c>
      <c r="F39">
        <v>1822.5</v>
      </c>
      <c r="G39">
        <v>2280</v>
      </c>
    </row>
    <row r="40" spans="5:10">
      <c r="E40">
        <v>1397</v>
      </c>
      <c r="F40">
        <v>1822.5</v>
      </c>
      <c r="G40">
        <v>2280</v>
      </c>
    </row>
    <row r="41" spans="5:10">
      <c r="E41">
        <v>1398</v>
      </c>
      <c r="F41">
        <v>1822.5</v>
      </c>
      <c r="G41">
        <v>2280</v>
      </c>
    </row>
    <row r="42" spans="5:10">
      <c r="E42">
        <v>1399</v>
      </c>
      <c r="F42">
        <v>1822.5</v>
      </c>
      <c r="G42">
        <v>2280</v>
      </c>
    </row>
    <row r="43" spans="5:10">
      <c r="E43">
        <v>1400</v>
      </c>
      <c r="F43">
        <v>1822.5</v>
      </c>
      <c r="G43">
        <v>2280</v>
      </c>
    </row>
    <row r="44" spans="5:10">
      <c r="E44">
        <v>1401</v>
      </c>
      <c r="F44">
        <v>3645</v>
      </c>
      <c r="G44">
        <v>2280</v>
      </c>
    </row>
    <row r="45" spans="5:10">
      <c r="E45">
        <v>1402</v>
      </c>
      <c r="F45">
        <v>0</v>
      </c>
      <c r="G45">
        <v>2280</v>
      </c>
    </row>
  </sheetData>
  <mergeCells count="1">
    <mergeCell ref="I35:J35"/>
  </mergeCells>
  <dataValidations count="1">
    <dataValidation type="list" allowBlank="1" showInputMessage="1" showErrorMessage="1" errorTitle="توجه" error="تعداد فرزندان مشمول حق اولاد که در سال 1401 متولد شده اند" sqref="J32:J33" xr:uid="{74461C35-D824-4CB6-91C9-8F0A0DC447D2}">
      <formula1>$I$2:$I$7</formula1>
    </dataValidation>
  </dataValidations>
  <hyperlinks>
    <hyperlink ref="I35" r:id="rId1" display="https://shenasname.ir/" xr:uid="{00000000-0004-0000-0000-000005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93"/>
  <sheetViews>
    <sheetView rightToLeft="1" topLeftCell="A7" zoomScale="145" zoomScaleNormal="145" workbookViewId="0">
      <selection activeCell="F13" sqref="F13"/>
    </sheetView>
  </sheetViews>
  <sheetFormatPr defaultColWidth="9" defaultRowHeight="15"/>
  <cols>
    <col min="1" max="4" width="9" style="113"/>
    <col min="5" max="5" width="15.42578125" style="113" bestFit="1" customWidth="1"/>
    <col min="6" max="6" width="11" style="113" customWidth="1"/>
    <col min="7" max="7" width="36.28515625" style="113" bestFit="1" customWidth="1"/>
    <col min="8" max="8" width="10.28515625" style="113" bestFit="1" customWidth="1"/>
    <col min="9" max="9" width="9" style="113"/>
    <col min="10" max="10" width="10.140625" style="113" bestFit="1" customWidth="1"/>
    <col min="11" max="14" width="9" style="113"/>
    <col min="15" max="15" width="9.5703125" style="113" bestFit="1" customWidth="1"/>
    <col min="16" max="16" width="10.85546875" style="113" bestFit="1" customWidth="1"/>
    <col min="17" max="23" width="9" style="113"/>
    <col min="24" max="24" width="8.140625" style="51" customWidth="1"/>
    <col min="25" max="25" width="18.7109375" style="51" customWidth="1"/>
    <col min="26" max="26" width="11.7109375" style="51" customWidth="1"/>
    <col min="27" max="27" width="12.7109375" style="51" customWidth="1"/>
    <col min="28" max="28" width="11.7109375" style="51" customWidth="1"/>
    <col min="29" max="29" width="12.7109375" style="51" customWidth="1"/>
    <col min="30" max="30" width="13.85546875" style="51" bestFit="1" customWidth="1"/>
    <col min="31" max="35" width="9.140625" style="51"/>
    <col min="36" max="36" width="14.7109375" style="51" customWidth="1"/>
    <col min="37" max="37" width="9.140625" style="51"/>
    <col min="38" max="38" width="11.28515625" style="51" bestFit="1" customWidth="1"/>
    <col min="39" max="39" width="9.140625" style="51"/>
    <col min="40" max="40" width="12.7109375" style="51" bestFit="1" customWidth="1"/>
    <col min="41" max="41" width="9.140625" style="51"/>
    <col min="42" max="42" width="16.28515625" style="51" bestFit="1" customWidth="1"/>
    <col min="43" max="43" width="10.28515625" style="51" customWidth="1"/>
    <col min="44" max="16384" width="9" style="113"/>
  </cols>
  <sheetData>
    <row r="1" spans="2:29" ht="15.75" thickBot="1">
      <c r="C1" s="126"/>
      <c r="O1" s="113">
        <v>0</v>
      </c>
      <c r="U1" s="113">
        <v>0</v>
      </c>
    </row>
    <row r="2" spans="2:29" ht="22.5">
      <c r="B2" s="127"/>
      <c r="C2" s="128">
        <v>4</v>
      </c>
      <c r="D2" s="129" t="s">
        <v>41</v>
      </c>
      <c r="E2" s="126" t="s">
        <v>33</v>
      </c>
      <c r="G2" s="196" t="s">
        <v>219</v>
      </c>
      <c r="H2" s="177">
        <f>SUM(Sheet2!N46:N63)</f>
        <v>0</v>
      </c>
      <c r="I2" s="177">
        <f>SUM('جدول محاسبات'!I7:I26)</f>
        <v>0</v>
      </c>
      <c r="L2" s="113">
        <v>0</v>
      </c>
      <c r="M2" s="113">
        <v>0</v>
      </c>
      <c r="O2" s="113">
        <v>700</v>
      </c>
      <c r="Q2" s="130" t="s">
        <v>55</v>
      </c>
      <c r="S2" s="113" t="s">
        <v>12</v>
      </c>
      <c r="U2" s="113">
        <v>1</v>
      </c>
    </row>
    <row r="3" spans="2:29" ht="23.25" thickBot="1">
      <c r="C3" s="128">
        <v>5</v>
      </c>
      <c r="D3" s="129" t="s">
        <v>42</v>
      </c>
      <c r="E3" s="126" t="s">
        <v>30</v>
      </c>
      <c r="G3" s="196" t="s">
        <v>220</v>
      </c>
      <c r="H3" s="177">
        <f>H2-'جدول محاسبات'!G31</f>
        <v>-79270800</v>
      </c>
      <c r="L3" s="113">
        <v>210</v>
      </c>
      <c r="M3" s="113">
        <v>810</v>
      </c>
      <c r="O3" s="113">
        <v>1500</v>
      </c>
      <c r="Q3" s="131" t="s">
        <v>56</v>
      </c>
      <c r="S3" s="113" t="s">
        <v>13</v>
      </c>
      <c r="U3" s="113">
        <v>2</v>
      </c>
    </row>
    <row r="4" spans="2:29" ht="23.25" thickBot="1">
      <c r="C4" s="128">
        <v>6</v>
      </c>
      <c r="D4" s="129" t="s">
        <v>43</v>
      </c>
      <c r="E4" s="126" t="s">
        <v>31</v>
      </c>
      <c r="G4" s="196" t="s">
        <v>217</v>
      </c>
      <c r="H4" s="177">
        <f>IF(H2&lt;35000000,35000000-H2,0)</f>
        <v>35000000</v>
      </c>
      <c r="L4" s="113">
        <v>420</v>
      </c>
      <c r="O4" s="113">
        <v>2000</v>
      </c>
      <c r="U4" s="113">
        <v>3</v>
      </c>
      <c r="Y4" s="132" t="s">
        <v>48</v>
      </c>
      <c r="Z4" s="133"/>
      <c r="AA4" s="134" t="s">
        <v>54</v>
      </c>
      <c r="AB4" s="135" t="s">
        <v>59</v>
      </c>
      <c r="AC4" s="134" t="s">
        <v>59</v>
      </c>
    </row>
    <row r="5" spans="2:29" ht="22.5">
      <c r="C5" s="128">
        <v>7</v>
      </c>
      <c r="D5" s="129" t="s">
        <v>44</v>
      </c>
      <c r="E5" s="126" t="s">
        <v>32</v>
      </c>
      <c r="G5" s="196" t="s">
        <v>218</v>
      </c>
      <c r="H5" s="191">
        <f>IF(H6&gt;0,H6-(H6*2),0)</f>
        <v>0</v>
      </c>
      <c r="L5" s="113">
        <v>630</v>
      </c>
      <c r="U5" s="113">
        <v>4</v>
      </c>
      <c r="Y5" s="136" t="s">
        <v>33</v>
      </c>
      <c r="Z5" s="1">
        <v>1300</v>
      </c>
      <c r="AA5" s="2">
        <f>IF(Y5=Sheet2!H24,Z5,0)</f>
        <v>0</v>
      </c>
      <c r="AB5" s="1">
        <v>18</v>
      </c>
      <c r="AC5" s="2">
        <f>IF(Sheet2!H24=Y5,AB5,0)</f>
        <v>0</v>
      </c>
    </row>
    <row r="6" spans="2:29" ht="22.5">
      <c r="C6" s="128">
        <v>8</v>
      </c>
      <c r="D6" s="129" t="s">
        <v>45</v>
      </c>
      <c r="E6" s="126" t="s">
        <v>46</v>
      </c>
      <c r="G6" s="196" t="s">
        <v>221</v>
      </c>
      <c r="H6" s="177">
        <f>H3-25000000</f>
        <v>-104270800</v>
      </c>
      <c r="L6" s="113">
        <v>840</v>
      </c>
      <c r="U6" s="113">
        <v>5</v>
      </c>
      <c r="Y6" s="137" t="s">
        <v>30</v>
      </c>
      <c r="Z6" s="3">
        <v>1450</v>
      </c>
      <c r="AA6" s="4">
        <f>IF(Y6=Sheet2!H24,Z6,0)</f>
        <v>0</v>
      </c>
      <c r="AB6" s="3">
        <v>25</v>
      </c>
      <c r="AC6" s="2">
        <f>IF(Sheet2!H24=Y6,AB6,0)</f>
        <v>0</v>
      </c>
    </row>
    <row r="7" spans="2:29" ht="22.5">
      <c r="C7" s="128">
        <v>9</v>
      </c>
      <c r="E7" s="126" t="s">
        <v>47</v>
      </c>
      <c r="G7" s="196"/>
      <c r="H7" s="144"/>
      <c r="L7" s="113">
        <v>1050</v>
      </c>
      <c r="U7" s="113">
        <v>6</v>
      </c>
      <c r="Y7" s="137" t="s">
        <v>31</v>
      </c>
      <c r="Z7" s="3">
        <v>1700</v>
      </c>
      <c r="AA7" s="4">
        <f>IF(Y7=Sheet2!H24,Z7,0)</f>
        <v>0</v>
      </c>
      <c r="AB7" s="3">
        <v>32</v>
      </c>
      <c r="AC7" s="2">
        <f>IF(Sheet2!H24=Y7,AB7,0)</f>
        <v>0</v>
      </c>
    </row>
    <row r="8" spans="2:29" ht="23.25" thickBot="1">
      <c r="C8" s="128">
        <v>10</v>
      </c>
      <c r="G8" s="196" t="s">
        <v>222</v>
      </c>
      <c r="H8" s="191"/>
      <c r="L8" s="113">
        <v>1260</v>
      </c>
      <c r="U8" s="113">
        <v>7</v>
      </c>
      <c r="Y8" s="137" t="s">
        <v>32</v>
      </c>
      <c r="Z8" s="3">
        <v>2100</v>
      </c>
      <c r="AA8" s="4">
        <f>IF(Y8=Sheet2!H24,Z8,0)</f>
        <v>2100</v>
      </c>
      <c r="AB8" s="3">
        <v>39</v>
      </c>
      <c r="AC8" s="2">
        <f>IF(Sheet2!H24=Y8,AB8,0)</f>
        <v>39</v>
      </c>
    </row>
    <row r="9" spans="2:29" ht="24.75" thickBot="1">
      <c r="C9" s="128">
        <v>11</v>
      </c>
      <c r="E9" s="244">
        <f>IF(Sheet2!I2&lt;79270800,79270800-Sheet2!I2,0)</f>
        <v>79270800</v>
      </c>
      <c r="G9" s="444"/>
      <c r="H9" s="444"/>
      <c r="L9" s="113">
        <v>1470</v>
      </c>
      <c r="U9" s="113">
        <v>8</v>
      </c>
      <c r="Y9" s="137" t="s">
        <v>46</v>
      </c>
      <c r="Z9" s="3">
        <v>2600</v>
      </c>
      <c r="AA9" s="4">
        <f>IF(Y9=Sheet2!H24,Z9,0)</f>
        <v>0</v>
      </c>
      <c r="AB9" s="3">
        <v>46</v>
      </c>
      <c r="AC9" s="2">
        <f>IF(Sheet2!H24=Y9,AB9,0)</f>
        <v>0</v>
      </c>
    </row>
    <row r="10" spans="2:29" ht="24.75" thickBot="1">
      <c r="C10" s="128">
        <v>12</v>
      </c>
      <c r="D10" s="113">
        <v>1402</v>
      </c>
      <c r="E10" s="247">
        <f>SUM('جدول محاسبات'!I7:I26,'جدول محاسبات'!I28)+'جدول محاسبات'!I30</f>
        <v>14487000</v>
      </c>
      <c r="F10" s="113">
        <v>100000000</v>
      </c>
      <c r="G10" s="112" t="s">
        <v>168</v>
      </c>
      <c r="H10" s="138">
        <v>0</v>
      </c>
      <c r="L10" s="113">
        <v>1680</v>
      </c>
      <c r="U10" s="113">
        <v>9</v>
      </c>
      <c r="Y10" s="139" t="s">
        <v>47</v>
      </c>
      <c r="Z10" s="5">
        <v>3100</v>
      </c>
      <c r="AA10" s="6">
        <f>IF(Y10=Sheet2!H24,Z10,0)</f>
        <v>0</v>
      </c>
      <c r="AB10" s="5">
        <v>53</v>
      </c>
      <c r="AC10" s="20">
        <f>IF(Sheet2!H24=Y10,AB10,0)</f>
        <v>0</v>
      </c>
    </row>
    <row r="11" spans="2:29" ht="23.25" thickBot="1">
      <c r="C11" s="128">
        <v>13</v>
      </c>
      <c r="E11" s="247">
        <f>SUM('جدول محاسبات'!G7:G25,'جدول محاسبات'!G28)+'جدول محاسبات'!G30</f>
        <v>12072000</v>
      </c>
      <c r="F11" s="113">
        <v>79270800</v>
      </c>
      <c r="U11" s="113">
        <v>10</v>
      </c>
      <c r="Y11" s="467" t="s">
        <v>54</v>
      </c>
      <c r="Z11" s="468"/>
      <c r="AA11" s="32">
        <f>SUM(AA5:AA10)</f>
        <v>2100</v>
      </c>
      <c r="AB11" s="24">
        <f>SUM(AC5:AC10)</f>
        <v>39</v>
      </c>
      <c r="AC11" s="21">
        <f>(AB11*Sheet2!H26)+((Sheet2!H27/12)*AB11)</f>
        <v>0</v>
      </c>
    </row>
    <row r="12" spans="2:29" ht="22.5">
      <c r="C12" s="128">
        <v>14</v>
      </c>
      <c r="U12" s="113">
        <v>11</v>
      </c>
      <c r="Y12" s="460" t="s">
        <v>62</v>
      </c>
      <c r="Z12" s="461"/>
      <c r="AA12" s="461"/>
      <c r="AB12" s="462"/>
      <c r="AC12" s="22">
        <f>Sheet2!H28/2</f>
        <v>0</v>
      </c>
    </row>
    <row r="13" spans="2:29" ht="23.25" thickBot="1">
      <c r="C13" s="128">
        <v>15</v>
      </c>
      <c r="U13" s="113">
        <v>12</v>
      </c>
      <c r="Y13" s="463" t="s">
        <v>63</v>
      </c>
      <c r="Z13" s="464"/>
      <c r="AA13" s="464"/>
      <c r="AB13" s="464"/>
      <c r="AC13" s="23">
        <f>AC11+AC12</f>
        <v>0</v>
      </c>
    </row>
    <row r="14" spans="2:29" ht="20.25" thickBot="1">
      <c r="C14" s="128">
        <v>16</v>
      </c>
      <c r="G14" s="444" t="s">
        <v>76</v>
      </c>
      <c r="H14" s="444"/>
      <c r="U14" s="113">
        <v>13</v>
      </c>
    </row>
    <row r="15" spans="2:29" ht="21">
      <c r="C15" s="128">
        <v>17</v>
      </c>
      <c r="G15" s="41" t="s">
        <v>71</v>
      </c>
      <c r="H15" s="140">
        <v>0</v>
      </c>
      <c r="U15" s="113">
        <v>14</v>
      </c>
    </row>
    <row r="16" spans="2:29" ht="21.75" thickBot="1">
      <c r="G16" s="43" t="s">
        <v>72</v>
      </c>
      <c r="H16" s="141">
        <v>0</v>
      </c>
      <c r="U16" s="113">
        <v>15</v>
      </c>
    </row>
    <row r="17" spans="5:32" ht="15.75" thickBot="1">
      <c r="U17" s="113">
        <v>16</v>
      </c>
    </row>
    <row r="18" spans="5:32">
      <c r="G18" s="446" t="s">
        <v>114</v>
      </c>
      <c r="H18" s="446"/>
      <c r="U18" s="113">
        <v>17</v>
      </c>
    </row>
    <row r="19" spans="5:32" ht="15.75" thickBot="1">
      <c r="G19" s="447"/>
      <c r="H19" s="447"/>
      <c r="U19" s="113">
        <v>18</v>
      </c>
    </row>
    <row r="20" spans="5:32" ht="15.75" thickBot="1">
      <c r="U20" s="113">
        <v>19</v>
      </c>
    </row>
    <row r="21" spans="5:32" ht="21.75" thickBot="1">
      <c r="G21" s="448" t="s">
        <v>53</v>
      </c>
      <c r="H21" s="449"/>
      <c r="L21" s="303" t="s">
        <v>234</v>
      </c>
      <c r="M21" s="303"/>
      <c r="U21" s="113">
        <v>20</v>
      </c>
    </row>
    <row r="22" spans="5:32" ht="24">
      <c r="E22" s="229">
        <f>ROUND('جدول محاسبات'!H6-'جدول محاسبات'!F6,0)</f>
        <v>0</v>
      </c>
      <c r="G22" s="42" t="s">
        <v>39</v>
      </c>
      <c r="H22" s="142">
        <v>5</v>
      </c>
      <c r="L22" s="237" t="s">
        <v>171</v>
      </c>
      <c r="M22" s="193" t="s">
        <v>173</v>
      </c>
      <c r="U22" s="113">
        <v>21</v>
      </c>
      <c r="X22" s="29" t="s">
        <v>49</v>
      </c>
      <c r="Y22" s="30" t="s">
        <v>0</v>
      </c>
      <c r="Z22" s="31"/>
      <c r="AA22" s="113"/>
      <c r="AB22" s="113"/>
      <c r="AC22" s="113"/>
      <c r="AD22" s="113"/>
    </row>
    <row r="23" spans="5:32" ht="22.5">
      <c r="G23" s="42" t="s">
        <v>40</v>
      </c>
      <c r="H23" s="142" t="s">
        <v>41</v>
      </c>
      <c r="U23" s="113">
        <v>22</v>
      </c>
      <c r="X23" s="28">
        <v>1</v>
      </c>
      <c r="Y23" s="7">
        <v>2400</v>
      </c>
      <c r="Z23" s="11">
        <f>IF(X23=Sheet2!H22,Y23,0)</f>
        <v>0</v>
      </c>
      <c r="AA23" s="113"/>
      <c r="AB23" s="113"/>
      <c r="AC23" s="113"/>
      <c r="AD23" s="113"/>
    </row>
    <row r="24" spans="5:32" ht="22.5">
      <c r="G24" s="42" t="s">
        <v>29</v>
      </c>
      <c r="H24" s="142" t="s">
        <v>32</v>
      </c>
      <c r="L24" s="303" t="s">
        <v>235</v>
      </c>
      <c r="M24" s="303"/>
      <c r="U24" s="113">
        <v>23</v>
      </c>
      <c r="X24" s="44">
        <v>2</v>
      </c>
      <c r="Y24" s="45">
        <v>2600</v>
      </c>
      <c r="Z24" s="4">
        <f>IF(X24=Sheet2!H22,Y24,0)</f>
        <v>0</v>
      </c>
      <c r="AA24" s="113"/>
      <c r="AB24" s="113"/>
      <c r="AC24" s="113"/>
      <c r="AD24" s="113"/>
    </row>
    <row r="25" spans="5:32" ht="22.5">
      <c r="G25" s="42" t="s">
        <v>57</v>
      </c>
      <c r="H25" s="142" t="s">
        <v>55</v>
      </c>
      <c r="L25" s="189" t="s">
        <v>176</v>
      </c>
      <c r="M25" s="193" t="s">
        <v>13</v>
      </c>
      <c r="U25" s="113">
        <v>24</v>
      </c>
      <c r="X25" s="28">
        <v>3</v>
      </c>
      <c r="Y25" s="7">
        <v>2800</v>
      </c>
      <c r="Z25" s="11">
        <f>IF(X25=Sheet2!H22,Y25,0)</f>
        <v>0</v>
      </c>
      <c r="AA25" s="113"/>
      <c r="AB25" s="113"/>
      <c r="AC25" s="113"/>
      <c r="AD25" s="113"/>
    </row>
    <row r="26" spans="5:32" ht="22.5">
      <c r="G26" s="42" t="s">
        <v>58</v>
      </c>
      <c r="H26" s="142">
        <v>0</v>
      </c>
      <c r="U26" s="113">
        <v>25</v>
      </c>
      <c r="X26" s="44">
        <v>4</v>
      </c>
      <c r="Y26" s="45">
        <v>3000</v>
      </c>
      <c r="Z26" s="4">
        <f>IF(X26=Sheet2!H22,Y26,0)</f>
        <v>0</v>
      </c>
      <c r="AA26" s="113"/>
      <c r="AB26" s="113"/>
      <c r="AC26" s="113"/>
      <c r="AD26" s="113"/>
    </row>
    <row r="27" spans="5:32" ht="22.5">
      <c r="G27" s="42" t="s">
        <v>60</v>
      </c>
      <c r="H27" s="142">
        <v>0</v>
      </c>
      <c r="U27" s="113">
        <v>26</v>
      </c>
      <c r="X27" s="28">
        <v>5</v>
      </c>
      <c r="Y27" s="7">
        <v>3200</v>
      </c>
      <c r="Z27" s="11">
        <f>IF(X27=Sheet2!H22,Y27,0)</f>
        <v>3200</v>
      </c>
      <c r="AA27" s="113"/>
      <c r="AB27" s="113"/>
      <c r="AC27" s="113"/>
      <c r="AD27" s="113"/>
    </row>
    <row r="28" spans="5:32" ht="23.25" thickBot="1">
      <c r="G28" s="43" t="s">
        <v>61</v>
      </c>
      <c r="H28" s="141">
        <v>0</v>
      </c>
      <c r="U28" s="113">
        <v>27</v>
      </c>
      <c r="X28" s="44">
        <v>6</v>
      </c>
      <c r="Y28" s="45">
        <v>3400</v>
      </c>
      <c r="Z28" s="4">
        <f>IF(X28=Sheet2!H22,Y28,0)</f>
        <v>0</v>
      </c>
      <c r="AA28" s="113"/>
      <c r="AB28" s="113"/>
      <c r="AC28" s="113"/>
      <c r="AD28" s="113"/>
    </row>
    <row r="29" spans="5:32" ht="23.25" thickBot="1">
      <c r="U29" s="113">
        <v>28</v>
      </c>
      <c r="X29" s="28">
        <v>7</v>
      </c>
      <c r="Y29" s="7">
        <v>3600</v>
      </c>
      <c r="Z29" s="11">
        <f>IF(X29=Sheet2!H22,Y29,0)</f>
        <v>0</v>
      </c>
      <c r="AA29" s="113"/>
      <c r="AB29" s="113"/>
      <c r="AC29" s="113"/>
      <c r="AD29" s="113"/>
      <c r="AF29" s="143"/>
    </row>
    <row r="30" spans="5:32" ht="22.5">
      <c r="G30" s="49"/>
      <c r="H30" s="49"/>
      <c r="I30" s="49"/>
      <c r="U30" s="113">
        <v>29</v>
      </c>
      <c r="X30" s="44">
        <v>8</v>
      </c>
      <c r="Y30" s="45">
        <v>3800</v>
      </c>
      <c r="Z30" s="4">
        <f>IF(X30=Sheet2!H22,Y30,0)</f>
        <v>0</v>
      </c>
      <c r="AA30" s="113"/>
      <c r="AB30" s="113"/>
      <c r="AC30" s="113"/>
      <c r="AD30" s="113"/>
    </row>
    <row r="31" spans="5:32" ht="22.5">
      <c r="G31" s="450" t="s">
        <v>67</v>
      </c>
      <c r="H31" s="450"/>
      <c r="J31" s="229" t="e">
        <f>ROUND(Sheet2!K33,0)</f>
        <v>#DIV/0!</v>
      </c>
      <c r="K31" s="234" t="e">
        <f>('ورود اطلاعات'!F9*100)/Sheet2!I36</f>
        <v>#DIV/0!</v>
      </c>
      <c r="U31" s="113">
        <v>30</v>
      </c>
      <c r="X31" s="28">
        <v>9</v>
      </c>
      <c r="Y31" s="7">
        <v>4000</v>
      </c>
      <c r="Z31" s="11">
        <f>IF(X31=Sheet2!H22,Y31,0)</f>
        <v>0</v>
      </c>
      <c r="AA31" s="113"/>
      <c r="AB31" s="113"/>
      <c r="AC31" s="113"/>
      <c r="AD31" s="113"/>
      <c r="AF31" s="144"/>
    </row>
    <row r="32" spans="5:32" ht="22.5">
      <c r="G32" s="450" t="s">
        <v>68</v>
      </c>
      <c r="H32" s="450"/>
      <c r="J32" s="229" t="e">
        <f>ROUND(Sheet2!K34,0)</f>
        <v>#DIV/0!</v>
      </c>
      <c r="K32" s="234" t="e">
        <f>('ورود اطلاعات'!F10*100)/Sheet2!I37</f>
        <v>#DIV/0!</v>
      </c>
      <c r="X32" s="44">
        <v>10</v>
      </c>
      <c r="Y32" s="45">
        <v>4200</v>
      </c>
      <c r="Z32" s="4">
        <f>IF(X32=Sheet2!H22,Y32,0)</f>
        <v>0</v>
      </c>
      <c r="AA32" s="113"/>
      <c r="AB32" s="113"/>
      <c r="AC32" s="113"/>
      <c r="AD32" s="113"/>
    </row>
    <row r="33" spans="7:43" ht="22.5">
      <c r="G33" s="450" t="s">
        <v>119</v>
      </c>
      <c r="H33" s="450"/>
      <c r="J33" s="229" t="e">
        <f>ROUND(Sheet2!K31,0)</f>
        <v>#DIV/0!</v>
      </c>
      <c r="K33" s="234" t="e">
        <f>('ورود اطلاعات'!F11*100)/Sheet2!AQ38</f>
        <v>#DIV/0!</v>
      </c>
      <c r="X33" s="28">
        <v>11</v>
      </c>
      <c r="Y33" s="7">
        <v>4400</v>
      </c>
      <c r="Z33" s="11">
        <f>IF(X33=Sheet2!H22,Y33,0)</f>
        <v>0</v>
      </c>
      <c r="AA33" s="113"/>
      <c r="AB33" s="113"/>
      <c r="AC33" s="113"/>
      <c r="AD33" s="113"/>
    </row>
    <row r="34" spans="7:43" ht="22.5">
      <c r="G34" s="450" t="s">
        <v>124</v>
      </c>
      <c r="H34" s="450"/>
      <c r="J34" s="229" t="e">
        <f>ROUND(Sheet2!K35,0)</f>
        <v>#DIV/0!</v>
      </c>
      <c r="K34" s="234" t="e">
        <f>('ورود اطلاعات'!F12*100)/Sheet2!AQ38</f>
        <v>#DIV/0!</v>
      </c>
      <c r="X34" s="44">
        <v>12</v>
      </c>
      <c r="Y34" s="45">
        <v>4600</v>
      </c>
      <c r="Z34" s="4">
        <f>IF(X34=Sheet2!H22,Y34,0)</f>
        <v>0</v>
      </c>
      <c r="AA34" s="113"/>
      <c r="AB34" s="113"/>
      <c r="AC34" s="113"/>
      <c r="AD34" s="113"/>
    </row>
    <row r="35" spans="7:43" ht="22.5">
      <c r="G35" s="450" t="s">
        <v>213</v>
      </c>
      <c r="H35" s="450"/>
      <c r="J35" s="229" t="e">
        <f>ROUND(Sheet2!K32,0)</f>
        <v>#DIV/0!</v>
      </c>
      <c r="K35" s="234" t="e">
        <f>('جدول محاسبات'!G21*100)/'جدول محاسبات'!G4</f>
        <v>#DIV/0!</v>
      </c>
      <c r="X35" s="28">
        <v>13</v>
      </c>
      <c r="Y35" s="7">
        <v>4800</v>
      </c>
      <c r="Z35" s="11">
        <f>IF(X35=Sheet2!H22,Y35,0)</f>
        <v>0</v>
      </c>
      <c r="AA35" s="113"/>
      <c r="AB35" s="113"/>
      <c r="AC35" s="113"/>
      <c r="AD35" s="113"/>
    </row>
    <row r="36" spans="7:43" ht="22.5">
      <c r="G36" s="450" t="s">
        <v>120</v>
      </c>
      <c r="H36" s="450"/>
      <c r="I36" s="78">
        <f>SUM('جدول محاسبات'!G4,'جدول محاسبات'!G5,'جدول محاسبات'!G6,'جدول محاسبات'!G9,'جدول محاسبات'!G14,'جدول محاسبات'!G16,'جدول محاسبات'!G17,'جدول محاسبات'!G18,'جدول محاسبات'!G23,'جدول محاسبات'!G24)</f>
        <v>0</v>
      </c>
      <c r="X36" s="44">
        <v>14</v>
      </c>
      <c r="Y36" s="45">
        <v>5000</v>
      </c>
      <c r="Z36" s="4">
        <f>IF(X36=Sheet2!H22,Y36,0)</f>
        <v>0</v>
      </c>
      <c r="AA36" s="113"/>
      <c r="AB36" s="113"/>
      <c r="AC36" s="113"/>
      <c r="AD36" s="113"/>
      <c r="AP36" s="145"/>
      <c r="AQ36" s="146"/>
    </row>
    <row r="37" spans="7:43" ht="23.25" thickBot="1">
      <c r="G37" s="450" t="s">
        <v>216</v>
      </c>
      <c r="H37" s="450"/>
      <c r="I37" s="78">
        <f>SUM('جدول محاسبات'!G7,'جدول محاسبات'!G9,'جدول محاسبات'!G14,'جدول محاسبات'!G16,'جدول محاسبات'!G17,'جدول محاسبات'!G18,'جدول محاسبات'!G23,'جدول محاسبات'!G24)</f>
        <v>0</v>
      </c>
      <c r="X37" s="28">
        <v>15</v>
      </c>
      <c r="Y37" s="7">
        <v>5200</v>
      </c>
      <c r="Z37" s="11">
        <f>IF(X37=Sheet2!H22,Y37,0)</f>
        <v>0</v>
      </c>
      <c r="AA37" s="113"/>
      <c r="AB37" s="113"/>
      <c r="AC37" s="113"/>
      <c r="AD37" s="113"/>
    </row>
    <row r="38" spans="7:43" ht="23.25" thickBot="1">
      <c r="G38" s="450" t="s">
        <v>121</v>
      </c>
      <c r="H38" s="450"/>
      <c r="I38" s="78">
        <f>ROUND('جدول محاسبات'!F23*Sheet2!H42%,0)</f>
        <v>0</v>
      </c>
      <c r="X38" s="46">
        <v>16</v>
      </c>
      <c r="Y38" s="47">
        <v>5400</v>
      </c>
      <c r="Z38" s="48">
        <f>IF(X38=Sheet2!H22,Y38,0)</f>
        <v>0</v>
      </c>
      <c r="AA38" s="113"/>
      <c r="AB38" s="113"/>
      <c r="AC38" s="113"/>
      <c r="AD38" s="113"/>
      <c r="AI38" s="147" t="s">
        <v>55</v>
      </c>
      <c r="AJ38" s="148" t="s">
        <v>56</v>
      </c>
      <c r="AL38" s="149" t="s">
        <v>15</v>
      </c>
      <c r="AN38" s="149" t="s">
        <v>65</v>
      </c>
      <c r="AP38" s="150" t="s">
        <v>66</v>
      </c>
      <c r="AQ38" s="151">
        <f>SUM('جدول محاسبات'!G7,'جدول محاسبات'!G24,'جدول محاسبات'!G23)</f>
        <v>0</v>
      </c>
    </row>
    <row r="39" spans="7:43" ht="22.5">
      <c r="G39" s="450" t="s">
        <v>122</v>
      </c>
      <c r="H39" s="450"/>
      <c r="I39" s="78">
        <f>ROUND('جدول محاسبات'!F24*Sheet2!H42%,0)</f>
        <v>0</v>
      </c>
      <c r="X39" s="25" t="s">
        <v>41</v>
      </c>
      <c r="Y39" s="9">
        <v>0</v>
      </c>
      <c r="Z39" s="10">
        <f>IF(X39=Sheet2!H23,0,0)</f>
        <v>0</v>
      </c>
      <c r="AA39" s="455" t="s">
        <v>51</v>
      </c>
      <c r="AB39" s="456"/>
      <c r="AC39" s="456"/>
      <c r="AD39" s="457"/>
      <c r="AF39" s="33">
        <v>1</v>
      </c>
      <c r="AG39" s="34">
        <f>IF(AND(AND(X39=Sheet2!H23,Sheet2!H26&gt;1,Sheet2!H28&gt;119,Sheet2!H15&gt;69,Sheet2!H16&gt;69),((Sheet2!H15+Sheet2!H16)/2)&gt;=75),1,0)</f>
        <v>0</v>
      </c>
      <c r="AI39" s="152">
        <f>IF(AG39=AF39,AD44*30%,0)</f>
        <v>0</v>
      </c>
      <c r="AJ39" s="153">
        <f>IF(AG39=AF39,AD44*20%,0)</f>
        <v>0</v>
      </c>
      <c r="AL39" s="154">
        <f>IF(AG39=AF39,'ورود اطلاعات'!C9*10%,0)</f>
        <v>0</v>
      </c>
      <c r="AN39" s="154">
        <f>IF(AG39=AF39,AA11*10%,0)</f>
        <v>0</v>
      </c>
    </row>
    <row r="40" spans="7:43" ht="22.5">
      <c r="X40" s="26" t="s">
        <v>42</v>
      </c>
      <c r="Y40" s="7">
        <v>250</v>
      </c>
      <c r="Z40" s="11">
        <f>IF(X40=Sheet2!H23,Y40,0)</f>
        <v>0</v>
      </c>
      <c r="AA40" s="26">
        <f>AA44</f>
        <v>3520</v>
      </c>
      <c r="AB40" s="7">
        <f>IF(X40=Sheet2!H23,AA41,0)</f>
        <v>0</v>
      </c>
      <c r="AC40" s="15">
        <v>0.15</v>
      </c>
      <c r="AD40" s="16">
        <f>AC40*AB40</f>
        <v>0</v>
      </c>
      <c r="AF40" s="28">
        <v>2</v>
      </c>
      <c r="AG40" s="35">
        <f>IF(X40=Sheet2!H23,AF40,0)</f>
        <v>0</v>
      </c>
      <c r="AI40" s="155">
        <f>IF(AG40=AF40,AD44*25%,0)</f>
        <v>0</v>
      </c>
      <c r="AJ40" s="156">
        <f>IF(AG40=AF40,AD44*15%,0)</f>
        <v>0</v>
      </c>
      <c r="AL40" s="157">
        <f>IF(AG40=AF40,'ورود اطلاعات'!C9*15%,0)</f>
        <v>0</v>
      </c>
      <c r="AN40" s="154">
        <f>IF(AG40=AF40,AA11*15%,0)</f>
        <v>0</v>
      </c>
    </row>
    <row r="41" spans="7:43" ht="24.75" thickBot="1">
      <c r="G41" s="445" t="s">
        <v>134</v>
      </c>
      <c r="H41" s="444"/>
      <c r="M41" s="465" t="s">
        <v>233</v>
      </c>
      <c r="N41" s="466"/>
      <c r="X41" s="26" t="s">
        <v>43</v>
      </c>
      <c r="Y41" s="7">
        <v>600</v>
      </c>
      <c r="Z41" s="11">
        <f>IF(X41=Sheet2!H23,Y41,0)</f>
        <v>0</v>
      </c>
      <c r="AA41" s="26">
        <f>AA44</f>
        <v>3520</v>
      </c>
      <c r="AB41" s="7">
        <f>IF(X41=Sheet2!H23,AA41,0)</f>
        <v>0</v>
      </c>
      <c r="AC41" s="15">
        <v>0.25</v>
      </c>
      <c r="AD41" s="16">
        <f>AC41*AB41</f>
        <v>0</v>
      </c>
      <c r="AF41" s="28">
        <v>3</v>
      </c>
      <c r="AG41" s="35">
        <f>IF(X41=Sheet2!H23,AF41,0)</f>
        <v>0</v>
      </c>
      <c r="AI41" s="155">
        <f>IF(AG41=AF41,AD44*17%,0)</f>
        <v>0</v>
      </c>
      <c r="AJ41" s="156">
        <f>IF(AG41=AF41,AD44*10%,0)</f>
        <v>0</v>
      </c>
      <c r="AL41" s="157">
        <f>IF(AG41=AF41,'ورود اطلاعات'!C9*25%,0)</f>
        <v>0</v>
      </c>
      <c r="AN41" s="154">
        <f>IF(AG41=AF41,AA11*25%,0)</f>
        <v>0</v>
      </c>
    </row>
    <row r="42" spans="7:43" ht="24.75" thickBot="1">
      <c r="G42" s="80" t="s">
        <v>133</v>
      </c>
      <c r="H42" s="158">
        <v>0</v>
      </c>
      <c r="M42" s="199" t="s">
        <v>0</v>
      </c>
      <c r="N42" s="200" t="s">
        <v>1</v>
      </c>
      <c r="X42" s="26" t="s">
        <v>44</v>
      </c>
      <c r="Y42" s="7">
        <v>1050</v>
      </c>
      <c r="Z42" s="11">
        <f>IF(X42=Sheet2!H23,Y42,0)</f>
        <v>0</v>
      </c>
      <c r="AA42" s="26">
        <f>AA44</f>
        <v>3520</v>
      </c>
      <c r="AB42" s="7">
        <f>IF(X42=Sheet2!H23,AA42,0)</f>
        <v>0</v>
      </c>
      <c r="AC42" s="15">
        <v>0.35</v>
      </c>
      <c r="AD42" s="16">
        <f>AC42*AB42</f>
        <v>0</v>
      </c>
      <c r="AF42" s="28">
        <v>4</v>
      </c>
      <c r="AG42" s="35">
        <f>IF(X42=Sheet2!H23,AF42,0)</f>
        <v>0</v>
      </c>
      <c r="AI42" s="155">
        <f>IF(AG42=AF42,AD44*8%,0)</f>
        <v>0</v>
      </c>
      <c r="AJ42" s="156">
        <f>IF(AG42=AF42,AD44*5%,0)</f>
        <v>0</v>
      </c>
      <c r="AL42" s="157">
        <f>IF(AG42=AF42,'ورود اطلاعات'!C9*35%,0)</f>
        <v>0</v>
      </c>
      <c r="AN42" s="154">
        <f>IF(AG42=AF42,AA11*35%,0)</f>
        <v>0</v>
      </c>
      <c r="AP42" s="150" t="s">
        <v>69</v>
      </c>
      <c r="AQ42" s="151">
        <f>SUM(Sheet2!H58,Sheet2!H73,Sheet2!H74)</f>
        <v>0</v>
      </c>
    </row>
    <row r="43" spans="7:43" ht="24.75" thickBot="1">
      <c r="M43" s="213">
        <f>'جدول محاسبات'!F4</f>
        <v>0</v>
      </c>
      <c r="N43" s="214">
        <f>M43*Sheet2!H51</f>
        <v>0</v>
      </c>
      <c r="X43" s="12" t="s">
        <v>45</v>
      </c>
      <c r="Y43" s="13">
        <v>1600</v>
      </c>
      <c r="Z43" s="14">
        <f>IF(X43=Sheet2!H23,Y43,0)</f>
        <v>0</v>
      </c>
      <c r="AA43" s="26">
        <f>AA44</f>
        <v>3520</v>
      </c>
      <c r="AB43" s="8">
        <f>IF(X43=Sheet2!H23,AA43,0)</f>
        <v>0</v>
      </c>
      <c r="AC43" s="17">
        <v>0.5</v>
      </c>
      <c r="AD43" s="18">
        <f>AC43*AB43</f>
        <v>0</v>
      </c>
      <c r="AF43" s="36">
        <v>5</v>
      </c>
      <c r="AG43" s="37">
        <f>IF(X43=Sheet2!H23,AF43,0)</f>
        <v>0</v>
      </c>
      <c r="AI43" s="159">
        <f>SUM(AI39:AI42)</f>
        <v>0</v>
      </c>
      <c r="AJ43" s="160">
        <f>SUM(AJ39:AJ42)</f>
        <v>0</v>
      </c>
      <c r="AL43" s="157">
        <f>IF(AG43=AF43,'ورود اطلاعات'!C9*50%,0)</f>
        <v>0</v>
      </c>
      <c r="AN43" s="154">
        <f>IF(AG43=AF43,AA11*50%,0)</f>
        <v>0</v>
      </c>
    </row>
    <row r="44" spans="7:43" ht="24.75" thickBot="1">
      <c r="G44" s="444" t="s">
        <v>118</v>
      </c>
      <c r="H44" s="444"/>
      <c r="M44" s="215">
        <f>'جدول محاسبات'!F5</f>
        <v>0</v>
      </c>
      <c r="N44" s="216">
        <f>M44*Sheet2!H51</f>
        <v>0</v>
      </c>
      <c r="X44" s="453" t="s">
        <v>50</v>
      </c>
      <c r="Y44" s="454"/>
      <c r="Z44" s="27">
        <f>SUM(Z23:Z43)</f>
        <v>3200</v>
      </c>
      <c r="AA44" s="161">
        <f>Z44+(Z44*10%)</f>
        <v>3520</v>
      </c>
      <c r="AB44" s="458" t="s">
        <v>52</v>
      </c>
      <c r="AC44" s="459"/>
      <c r="AD44" s="19">
        <f>SUM(AD40:AD43,AA44)</f>
        <v>3520</v>
      </c>
      <c r="AF44" s="38" t="s">
        <v>40</v>
      </c>
      <c r="AG44" s="39">
        <f>SUM(AG39:AG43)</f>
        <v>0</v>
      </c>
      <c r="AI44" s="40" t="s">
        <v>64</v>
      </c>
      <c r="AJ44" s="162">
        <f>IF(Sheet2!H25=Sheet2!Q2,AI43,AJ43)</f>
        <v>0</v>
      </c>
      <c r="AL44" s="163">
        <f>SUM(AL39:AL43)</f>
        <v>0</v>
      </c>
      <c r="AN44" s="163">
        <f>IF(AG44&gt;0,SUM(AN39:AN43)+(AC13*50%),0)</f>
        <v>0</v>
      </c>
      <c r="AP44" s="150" t="s">
        <v>70</v>
      </c>
      <c r="AQ44" s="151">
        <f>SUM(Sheet2!N46,Sheet2!N62,Sheet2!N63)</f>
        <v>0</v>
      </c>
    </row>
    <row r="45" spans="7:43" ht="24.75" thickBot="1">
      <c r="G45" s="80" t="s">
        <v>117</v>
      </c>
      <c r="H45" s="87" t="s">
        <v>13</v>
      </c>
      <c r="M45" s="217">
        <f>IF('ورود اطلاعات (2)'!K12&gt;Sheet2!M43*0.75,M43*0.75,'ورود اطلاعات (2)'!K12)</f>
        <v>0</v>
      </c>
      <c r="N45" s="218">
        <f>M45*Sheet2!H51</f>
        <v>0</v>
      </c>
    </row>
    <row r="46" spans="7:43" ht="24">
      <c r="M46" s="219">
        <f>SUM(M43:M45)</f>
        <v>0</v>
      </c>
      <c r="N46" s="220">
        <f>SUM(N43:N45)</f>
        <v>0</v>
      </c>
    </row>
    <row r="47" spans="7:43" ht="24">
      <c r="M47" s="211"/>
      <c r="N47" s="212">
        <f>'جدول محاسبات'!G8</f>
        <v>0</v>
      </c>
    </row>
    <row r="48" spans="7:43" ht="24">
      <c r="M48" s="215">
        <f>'جدول محاسبات'!F9</f>
        <v>0</v>
      </c>
      <c r="N48" s="216">
        <f>M48*Sheet2!H51</f>
        <v>0</v>
      </c>
    </row>
    <row r="49" spans="7:16" ht="24">
      <c r="M49" s="221"/>
      <c r="N49" s="222">
        <f>IF('ورود اطلاعات'!F9=0,0,SUM(N43,N44,N45,N48,N53,N55,N56,N57,N62,N63)*Sheet2!K31%)</f>
        <v>0</v>
      </c>
    </row>
    <row r="50" spans="7:16" ht="24">
      <c r="G50" s="197" t="s">
        <v>251</v>
      </c>
      <c r="H50" s="198">
        <v>4024</v>
      </c>
      <c r="M50" s="215"/>
      <c r="N50" s="216">
        <f>IF('ورود اطلاعات'!F10=0,0,SUM(N46,N48,N53,N55,N56,N57,N62,N63)*Sheet2!K32%)</f>
        <v>0</v>
      </c>
    </row>
    <row r="51" spans="7:16" ht="24">
      <c r="G51" s="197" t="s">
        <v>274</v>
      </c>
      <c r="H51" s="198">
        <v>4829</v>
      </c>
      <c r="M51" s="223"/>
      <c r="N51" s="224">
        <f>IF('ورود اطلاعات'!F11=0,0,Sheet2!AQ44*Sheet2!K33%)</f>
        <v>0</v>
      </c>
    </row>
    <row r="52" spans="7:16" ht="24.75" thickBot="1">
      <c r="M52" s="215"/>
      <c r="N52" s="216">
        <f>IF(N46=0,0,N46*Sheet2!K34%)</f>
        <v>0</v>
      </c>
    </row>
    <row r="53" spans="7:16" ht="24">
      <c r="G53" s="451" t="s">
        <v>163</v>
      </c>
      <c r="H53" s="452"/>
      <c r="M53" s="223">
        <f>'جدول محاسبات'!F14</f>
        <v>0</v>
      </c>
      <c r="N53" s="224">
        <f>M53*Sheet2!H51</f>
        <v>0</v>
      </c>
    </row>
    <row r="54" spans="7:16" ht="24.75" thickBot="1">
      <c r="G54" s="81" t="s">
        <v>0</v>
      </c>
      <c r="H54" s="82" t="s">
        <v>1</v>
      </c>
      <c r="M54" s="215"/>
      <c r="N54" s="216">
        <f>IF('ورود اطلاعات'!C21="بلی",P54*25%,0)</f>
        <v>0</v>
      </c>
      <c r="O54" s="113">
        <v>29658000</v>
      </c>
      <c r="P54" s="113">
        <f>O54*1.2</f>
        <v>35589600</v>
      </c>
    </row>
    <row r="55" spans="7:16" ht="24">
      <c r="G55" s="72">
        <f>'جدول محاسبات'!F4</f>
        <v>0</v>
      </c>
      <c r="H55" s="73">
        <f>G55*Sheet2!H51</f>
        <v>0</v>
      </c>
      <c r="M55" s="223">
        <f>'جدول محاسبات'!F16</f>
        <v>0</v>
      </c>
      <c r="N55" s="224">
        <f>M55*Sheet2!H51</f>
        <v>0</v>
      </c>
    </row>
    <row r="56" spans="7:16" ht="24">
      <c r="G56" s="58">
        <f>'جدول محاسبات'!F5</f>
        <v>0</v>
      </c>
      <c r="H56" s="59">
        <f>G56*Sheet2!H51</f>
        <v>0</v>
      </c>
      <c r="M56" s="215">
        <f>'جدول محاسبات'!F17</f>
        <v>0</v>
      </c>
      <c r="N56" s="216">
        <f>M56*Sheet2!H51</f>
        <v>0</v>
      </c>
    </row>
    <row r="57" spans="7:16" ht="24">
      <c r="G57" s="75">
        <f>'ورود اطلاعات (2)'!K12</f>
        <v>0</v>
      </c>
      <c r="H57" s="59">
        <f>G57*Sheet2!H51</f>
        <v>0</v>
      </c>
      <c r="M57" s="223">
        <f>'جدول محاسبات'!F18</f>
        <v>0</v>
      </c>
      <c r="N57" s="224">
        <f>M57*Sheet2!H51</f>
        <v>0</v>
      </c>
    </row>
    <row r="58" spans="7:16" ht="24">
      <c r="G58" s="84">
        <f>SUM(G55:G57)</f>
        <v>0</v>
      </c>
      <c r="H58" s="83">
        <f>SUM(H55:H57)</f>
        <v>0</v>
      </c>
      <c r="L58" s="113">
        <v>2430</v>
      </c>
      <c r="M58" s="243">
        <f>'جدول محاسبات'!F19</f>
        <v>0</v>
      </c>
      <c r="N58" s="216">
        <f>M58*3048</f>
        <v>0</v>
      </c>
    </row>
    <row r="59" spans="7:16" ht="24">
      <c r="G59" s="75"/>
      <c r="H59" s="74">
        <f>'جدول محاسبات'!G8</f>
        <v>0</v>
      </c>
      <c r="K59" s="113">
        <f>Sheet2!O84*Sheet2!L59</f>
        <v>0</v>
      </c>
      <c r="L59" s="113">
        <v>945</v>
      </c>
      <c r="M59" s="223">
        <f>'جدول محاسبات'!F20</f>
        <v>0</v>
      </c>
      <c r="N59" s="224">
        <f>M59*3048</f>
        <v>0</v>
      </c>
    </row>
    <row r="60" spans="7:16" ht="24">
      <c r="G60" s="75">
        <f>'جدول محاسبات'!F9</f>
        <v>0</v>
      </c>
      <c r="H60" s="74">
        <f>G60*Sheet2!H51</f>
        <v>0</v>
      </c>
      <c r="M60" s="215"/>
      <c r="N60" s="216">
        <f>IF(N43=0,0,N43*Sheet2!K35%)</f>
        <v>0</v>
      </c>
    </row>
    <row r="61" spans="7:16" ht="24">
      <c r="G61" s="75"/>
      <c r="H61" s="74">
        <f>IF('ورود اطلاعات'!F9=0,0,SUM(H55,H56,H57,H60,H64,H66,H67,H68,H73,H74)*Sheet2!K31%)</f>
        <v>0</v>
      </c>
      <c r="M61" s="223"/>
      <c r="N61" s="224">
        <f>'جدول محاسبات'!G22</f>
        <v>0</v>
      </c>
    </row>
    <row r="62" spans="7:16" ht="24">
      <c r="G62" s="75"/>
      <c r="H62" s="74">
        <f>IF('ورود اطلاعات'!F11=0,0,Sheet2!AQ42*Sheet2!K33%)</f>
        <v>0</v>
      </c>
      <c r="M62" s="215">
        <f>'جدول محاسبات'!F23</f>
        <v>0</v>
      </c>
      <c r="N62" s="216">
        <f>M62*Sheet2!H51</f>
        <v>0</v>
      </c>
    </row>
    <row r="63" spans="7:16" ht="24">
      <c r="G63" s="75"/>
      <c r="H63" s="74">
        <f>IF('ورود اطلاعات'!F12=0,0,Sheet2!AQ42*Sheet2!K34%)</f>
        <v>0</v>
      </c>
      <c r="M63" s="223">
        <f>'جدول محاسبات'!F24</f>
        <v>0</v>
      </c>
      <c r="N63" s="224">
        <f>M63*Sheet2!H51</f>
        <v>0</v>
      </c>
    </row>
    <row r="64" spans="7:16" ht="24">
      <c r="G64" s="75">
        <f>'جدول محاسبات'!F14</f>
        <v>0</v>
      </c>
      <c r="H64" s="74">
        <f>G64*Sheet2!H51</f>
        <v>0</v>
      </c>
      <c r="M64" s="215"/>
      <c r="N64" s="216">
        <v>0</v>
      </c>
    </row>
    <row r="65" spans="7:14" ht="24">
      <c r="G65" s="75"/>
      <c r="H65" s="74">
        <f>IF('ورود اطلاعات'!C21="بلی",'ورود اطلاعات (2)'!K48/4,0)</f>
        <v>0</v>
      </c>
      <c r="M65" s="223"/>
      <c r="N65" s="224">
        <f>IF(Sheet2!H2&lt;56000000,56000000-Sheet2!H2,0)</f>
        <v>56000000</v>
      </c>
    </row>
    <row r="66" spans="7:14" ht="24">
      <c r="G66" s="75">
        <f>'جدول محاسبات'!F16</f>
        <v>0</v>
      </c>
      <c r="H66" s="74">
        <f>G66*Sheet2!H51</f>
        <v>0</v>
      </c>
      <c r="M66" s="215"/>
      <c r="N66" s="210">
        <v>0</v>
      </c>
    </row>
    <row r="67" spans="7:14" ht="24">
      <c r="G67" s="75">
        <f>'جدول محاسبات'!F17</f>
        <v>0</v>
      </c>
      <c r="H67" s="74">
        <f>G67*Sheet2!H51</f>
        <v>0</v>
      </c>
      <c r="M67" s="225">
        <f>SUM(M46:M66)</f>
        <v>0</v>
      </c>
      <c r="N67" s="226">
        <f>SUM(N46:N66)</f>
        <v>56000000</v>
      </c>
    </row>
    <row r="68" spans="7:14" ht="21">
      <c r="G68" s="75">
        <f>'جدول محاسبات'!F18</f>
        <v>0</v>
      </c>
      <c r="H68" s="74">
        <f>G68*Sheet2!H51</f>
        <v>0</v>
      </c>
    </row>
    <row r="69" spans="7:14" ht="21">
      <c r="G69" s="75">
        <f>'جدول محاسبات'!F19</f>
        <v>0</v>
      </c>
      <c r="H69" s="74">
        <f>G69*2438</f>
        <v>0</v>
      </c>
    </row>
    <row r="70" spans="7:14" ht="21">
      <c r="G70" s="75">
        <f>'جدول محاسبات'!F20</f>
        <v>0</v>
      </c>
      <c r="H70" s="74">
        <f>G70*2438</f>
        <v>0</v>
      </c>
    </row>
    <row r="71" spans="7:14" ht="21">
      <c r="G71" s="75"/>
      <c r="H71" s="74">
        <f>IF('ورود اطلاعات'!F13=0,0,H55*Sheet2!K35%)</f>
        <v>0</v>
      </c>
    </row>
    <row r="72" spans="7:14" ht="21">
      <c r="G72" s="75"/>
      <c r="H72" s="74">
        <f>'ورود اطلاعات'!F14</f>
        <v>0</v>
      </c>
    </row>
    <row r="73" spans="7:14" ht="21">
      <c r="G73" s="75">
        <f>'جدول محاسبات'!F23</f>
        <v>0</v>
      </c>
      <c r="H73" s="74">
        <f>G73*Sheet2!H51</f>
        <v>0</v>
      </c>
    </row>
    <row r="74" spans="7:14" ht="21">
      <c r="G74" s="77">
        <f>'جدول محاسبات'!F24</f>
        <v>0</v>
      </c>
      <c r="H74" s="76">
        <f>G74*Sheet2!H51</f>
        <v>0</v>
      </c>
    </row>
    <row r="75" spans="7:14" ht="21.75" thickBot="1">
      <c r="G75" s="77"/>
      <c r="H75" s="74">
        <f>IF(SUM(H58,'جدول محاسبات'!G8,H60:H74)&lt;35000000,(35000000-SUM(H58,'جدول محاسبات'!G8,H60:H74)),0)</f>
        <v>35000000</v>
      </c>
    </row>
    <row r="76" spans="7:14" ht="21.75" thickBot="1">
      <c r="G76" s="86">
        <f>SUM(G58:G74)</f>
        <v>0</v>
      </c>
      <c r="H76" s="85">
        <f>SUM(H58:H75)</f>
        <v>35000000</v>
      </c>
    </row>
    <row r="77" spans="7:14" ht="20.25" thickBot="1">
      <c r="G77" s="117"/>
      <c r="H77" s="117"/>
    </row>
    <row r="78" spans="7:14" ht="21.75" thickBot="1">
      <c r="G78" s="111"/>
      <c r="H78" s="111"/>
    </row>
    <row r="79" spans="7:14">
      <c r="G79" s="110"/>
      <c r="H79" s="110"/>
    </row>
    <row r="80" spans="7:14">
      <c r="G80" s="108"/>
      <c r="H80" s="108"/>
    </row>
    <row r="81" spans="7:15">
      <c r="G81" s="108"/>
      <c r="H81" s="108"/>
    </row>
    <row r="82" spans="7:15" ht="18.75">
      <c r="G82" s="108"/>
      <c r="H82" s="108"/>
      <c r="K82" s="79"/>
      <c r="L82" s="79"/>
      <c r="M82" s="79"/>
      <c r="N82" s="303" t="s">
        <v>241</v>
      </c>
      <c r="O82" s="303"/>
    </row>
    <row r="83" spans="7:15" ht="24">
      <c r="G83" s="108"/>
      <c r="H83" s="108"/>
      <c r="K83" s="189" t="s">
        <v>185</v>
      </c>
      <c r="L83" s="192">
        <v>0</v>
      </c>
      <c r="M83" s="79"/>
      <c r="N83" s="189" t="s">
        <v>239</v>
      </c>
      <c r="O83" s="193" t="s">
        <v>13</v>
      </c>
    </row>
    <row r="84" spans="7:15" ht="24.75" thickBot="1">
      <c r="G84" s="109"/>
      <c r="H84" s="109"/>
      <c r="K84" s="189" t="s">
        <v>186</v>
      </c>
      <c r="L84" s="192">
        <v>0</v>
      </c>
      <c r="M84" s="79"/>
      <c r="N84" s="189" t="s">
        <v>240</v>
      </c>
      <c r="O84" s="193">
        <v>0</v>
      </c>
    </row>
    <row r="85" spans="7:15" ht="18">
      <c r="K85" s="79"/>
      <c r="L85" s="79"/>
      <c r="M85" s="79"/>
      <c r="N85" s="51"/>
      <c r="O85" s="51"/>
    </row>
    <row r="86" spans="7:15" ht="19.5">
      <c r="K86" s="79"/>
      <c r="L86" s="79"/>
      <c r="M86" s="79"/>
      <c r="N86" s="189" t="s">
        <v>169</v>
      </c>
      <c r="O86" s="194">
        <v>50</v>
      </c>
    </row>
    <row r="89" spans="7:15" ht="18.75">
      <c r="G89" s="208" t="s">
        <v>225</v>
      </c>
    </row>
    <row r="90" spans="7:15">
      <c r="G90" s="209" t="s">
        <v>226</v>
      </c>
    </row>
    <row r="91" spans="7:15" ht="191.25">
      <c r="G91" s="209" t="s">
        <v>227</v>
      </c>
    </row>
    <row r="92" spans="7:15" ht="140.25">
      <c r="G92" s="209" t="s">
        <v>228</v>
      </c>
    </row>
    <row r="93" spans="7:15" ht="140.25">
      <c r="G93" s="209" t="s">
        <v>229</v>
      </c>
    </row>
  </sheetData>
  <mergeCells count="26">
    <mergeCell ref="G37:H37"/>
    <mergeCell ref="L21:M21"/>
    <mergeCell ref="L24:M24"/>
    <mergeCell ref="M41:N41"/>
    <mergeCell ref="Y11:Z11"/>
    <mergeCell ref="X44:Y44"/>
    <mergeCell ref="AA39:AD39"/>
    <mergeCell ref="AB44:AC44"/>
    <mergeCell ref="Y12:AB12"/>
    <mergeCell ref="Y13:AB13"/>
    <mergeCell ref="N82:O82"/>
    <mergeCell ref="G9:H9"/>
    <mergeCell ref="G41:H41"/>
    <mergeCell ref="G44:H44"/>
    <mergeCell ref="G14:H14"/>
    <mergeCell ref="G18:H19"/>
    <mergeCell ref="G21:H21"/>
    <mergeCell ref="G36:H36"/>
    <mergeCell ref="G38:H38"/>
    <mergeCell ref="G39:H39"/>
    <mergeCell ref="G34:H34"/>
    <mergeCell ref="G31:H31"/>
    <mergeCell ref="G53:H53"/>
    <mergeCell ref="G32:H32"/>
    <mergeCell ref="G33:H33"/>
    <mergeCell ref="G35:H35"/>
  </mergeCells>
  <dataValidations count="14">
    <dataValidation type="whole" allowBlank="1" showInputMessage="1" showErrorMessage="1" errorTitle="توجه" error="از صفر (۰) تا صد (100)  عددی وارد نمایید" sqref="H15:H16" xr:uid="{00000000-0002-0000-05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500-000001000000}">
      <formula1>$X$39:$X$43</formula1>
    </dataValidation>
    <dataValidation type="list" allowBlank="1" showInputMessage="1" showErrorMessage="1" errorTitle="توجه" error="عددی بین 4 تا 16 مطابق با آخرین حکم کارگزینی وارد نمایید" sqref="H22" xr:uid="{00000000-0002-0000-05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500-000003000000}">
      <formula1>$Y$5:$Y$10</formula1>
    </dataValidation>
    <dataValidation type="list" allowBlank="1" showInputMessage="1" showErrorMessage="1" errorTitle="توجه" error="از صفر (0) تا یازده (11) عددی وارد نمایید" sqref="H27" xr:uid="{00000000-0002-0000-0500-000004000000}">
      <formula1>$U$1:$U$12</formula1>
    </dataValidation>
    <dataValidation type="list" allowBlank="1" showInputMessage="1" showErrorMessage="1" errorTitle="توجه" error="از صفر (0) تا سی (30) عددی وارد نمایید" sqref="H26" xr:uid="{00000000-0002-0000-05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500-000006000000}">
      <formula1>$Q$2:$Q$3</formula1>
    </dataValidation>
    <dataValidation type="whole" allowBlank="1" showInputMessage="1" showErrorMessage="1" errorTitle="توجه" error="از صفر (۰) تا هزار (1000)  عددی وارد نمایید" sqref="H28" xr:uid="{00000000-0002-0000-0500-000007000000}">
      <formula1>0</formula1>
      <formula2>1000</formula2>
    </dataValidation>
    <dataValidation type="whole" allowBlank="1" showInputMessage="1" showErrorMessage="1" errorTitle="اخطار" error="عددی از یک تا پنجاه وارد نمایید" sqref="H42" xr:uid="{00000000-0002-0000-05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500-000009000000}">
      <formula1>$S$2:$S$3</formula1>
    </dataValidation>
    <dataValidation type="list" allowBlank="1" showInputMessage="1" showErrorMessage="1" errorTitle="توجه" error="یکی از گزینه های زیر را وارد نمایید_x000a__x000a_خیر_x000a_بلی_x000a__x000a__x000a_" sqref="M25 O83" xr:uid="{00000000-0002-0000-0000-000011000000}">
      <formula1>$S$2:$S$3</formula1>
    </dataValidation>
    <dataValidation type="list" allowBlank="1" showInputMessage="1" showErrorMessage="1" errorTitle="توجه" error="از 1 تا 5 عددی وارد نمایید_x000a_" promptTitle="نکته مهم" prompt="فقط تعداد فرزندان متولد سال 1401 قید شود (در صورتی که مشمول دریافت حق اولاد هستید)" sqref="O84" xr:uid="{17C59A9A-F3A4-4284-AAD4-74A9648D04FF}">
      <formula1>$U$1:$U$6</formula1>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L84" xr:uid="{00000000-0002-0000-0000-00000C000000}">
      <formula1>0</formula1>
      <formula2>5000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L83" xr:uid="{00000000-0002-0000-0000-00000B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6000000}">
          <x14:formula1>
            <xm:f>'ورود اطلاعات (2)'!$Y$7:$Y$9</xm:f>
          </x14:formula1>
          <xm:sqref>M22</xm:sqref>
        </x14:dataValidation>
        <x14:dataValidation type="list" allowBlank="1" showInputMessage="1" showErrorMessage="1" errorTitle="اخطار" error="از صفر تا 50 عددی وارد نمایید_x000a_" prompt="از صفر تا 50 عددی وارد نمایید_x000a_" xr:uid="{00000000-0002-0000-0000-000012000000}">
          <x14:formula1>
            <xm:f>'ورود اطلاعات (2)'!$V$3:$V$53</xm:f>
          </x14:formula1>
          <xm:sqref>O86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D53"/>
  <sheetViews>
    <sheetView rightToLeft="1" topLeftCell="I1" zoomScaleSheetLayoutView="100" workbookViewId="0">
      <selection activeCell="M14" sqref="M14"/>
    </sheetView>
  </sheetViews>
  <sheetFormatPr defaultColWidth="9.140625" defaultRowHeight="18"/>
  <cols>
    <col min="1" max="1" width="3.28515625" style="91" customWidth="1"/>
    <col min="2" max="2" width="11.7109375" style="91" customWidth="1"/>
    <col min="3" max="3" width="19.7109375" style="91" customWidth="1"/>
    <col min="4" max="4" width="15.7109375" style="91" customWidth="1"/>
    <col min="5" max="5" width="3" style="91" customWidth="1"/>
    <col min="6" max="6" width="30.7109375" style="91" customWidth="1"/>
    <col min="7" max="7" width="15.7109375" style="91" customWidth="1"/>
    <col min="8" max="8" width="4.28515625" style="91" customWidth="1"/>
    <col min="9" max="9" width="9.140625" style="91"/>
    <col min="10" max="10" width="29.140625" style="91" customWidth="1"/>
    <col min="11" max="11" width="15.140625" style="91" customWidth="1"/>
    <col min="12" max="12" width="9.140625" style="91"/>
    <col min="13" max="13" width="11.7109375" style="91" customWidth="1"/>
    <col min="14" max="15" width="9.140625" style="91"/>
    <col min="16" max="16" width="14.7109375" style="91" bestFit="1" customWidth="1"/>
    <col min="17" max="18" width="9.140625" style="91"/>
    <col min="19" max="23" width="9.140625" style="51"/>
    <col min="24" max="26" width="9.140625" style="91"/>
    <col min="27" max="27" width="16.140625" style="91" customWidth="1"/>
    <col min="28" max="28" width="16.28515625" style="91" customWidth="1"/>
    <col min="29" max="16384" width="9.140625" style="91"/>
  </cols>
  <sheetData>
    <row r="1" spans="1:30" ht="20.25">
      <c r="A1" s="89"/>
      <c r="B1" s="471" t="s">
        <v>136</v>
      </c>
      <c r="C1" s="471"/>
      <c r="D1" s="471"/>
      <c r="E1" s="471"/>
      <c r="F1" s="471"/>
      <c r="G1" s="471"/>
      <c r="H1" s="89"/>
      <c r="I1" s="90"/>
      <c r="Y1" s="91" t="s">
        <v>137</v>
      </c>
      <c r="Z1" s="91">
        <f>IF(Y1='ورود اطلاعات'!C26,0,0)</f>
        <v>0</v>
      </c>
      <c r="AA1" s="92" t="s">
        <v>33</v>
      </c>
      <c r="AB1" s="91">
        <v>18</v>
      </c>
      <c r="AC1" s="91">
        <f>IF(AA1='ورود اطلاعات'!C24,AB1,0)</f>
        <v>0</v>
      </c>
    </row>
    <row r="2" spans="1:30">
      <c r="A2" s="89"/>
      <c r="B2" s="472" t="s">
        <v>138</v>
      </c>
      <c r="C2" s="472"/>
      <c r="D2" s="472"/>
      <c r="E2" s="472"/>
      <c r="F2" s="472"/>
      <c r="G2" s="472"/>
      <c r="H2" s="89"/>
      <c r="I2" s="90"/>
      <c r="S2" s="91" t="s">
        <v>139</v>
      </c>
      <c r="T2" s="91" t="s">
        <v>140</v>
      </c>
      <c r="U2" s="91" t="s">
        <v>123</v>
      </c>
      <c r="V2" s="91" t="s">
        <v>141</v>
      </c>
      <c r="W2" s="91" t="s">
        <v>12</v>
      </c>
      <c r="Y2" s="91" t="s">
        <v>142</v>
      </c>
      <c r="Z2" s="91">
        <f>IF(Y2='ورود اطلاعات'!C26,52.5,0)</f>
        <v>0</v>
      </c>
      <c r="AA2" s="92" t="s">
        <v>30</v>
      </c>
      <c r="AB2" s="91">
        <v>25</v>
      </c>
      <c r="AC2" s="91">
        <f>IF(AA2='ورود اطلاعات'!C24,AB2,0)</f>
        <v>0</v>
      </c>
    </row>
    <row r="3" spans="1:30" ht="18.75" thickBot="1">
      <c r="A3" s="89"/>
      <c r="B3" s="473" t="s">
        <v>143</v>
      </c>
      <c r="C3" s="473"/>
      <c r="D3" s="473"/>
      <c r="E3" s="473"/>
      <c r="F3" s="473"/>
      <c r="G3" s="473"/>
      <c r="H3" s="89"/>
      <c r="I3" s="90"/>
      <c r="S3" s="93">
        <v>0</v>
      </c>
      <c r="T3" s="93">
        <v>0</v>
      </c>
      <c r="U3" s="93">
        <v>0</v>
      </c>
      <c r="V3" s="93">
        <v>0</v>
      </c>
      <c r="W3" s="91" t="s">
        <v>13</v>
      </c>
      <c r="Y3" s="91" t="s">
        <v>144</v>
      </c>
      <c r="Z3" s="91">
        <f>IF(Y3='ورود اطلاعات'!C26,105,0)</f>
        <v>0</v>
      </c>
      <c r="AA3" s="92" t="s">
        <v>31</v>
      </c>
      <c r="AB3" s="91">
        <v>32</v>
      </c>
      <c r="AC3" s="91">
        <f>IF(AA3='ورود اطلاعات'!C24,AB3,0)</f>
        <v>0</v>
      </c>
    </row>
    <row r="4" spans="1:30" ht="24" customHeight="1" thickBot="1">
      <c r="A4" s="89"/>
      <c r="B4" s="474" t="s">
        <v>14</v>
      </c>
      <c r="C4" s="475"/>
      <c r="D4" s="94" t="s">
        <v>0</v>
      </c>
      <c r="E4" s="119"/>
      <c r="F4" s="120" t="s">
        <v>145</v>
      </c>
      <c r="G4" s="95">
        <v>2120</v>
      </c>
      <c r="H4" s="89"/>
      <c r="S4" s="93">
        <v>5</v>
      </c>
      <c r="T4" s="93">
        <v>5</v>
      </c>
      <c r="U4" s="93">
        <v>1</v>
      </c>
      <c r="V4" s="93">
        <v>1</v>
      </c>
      <c r="Y4" s="91" t="s">
        <v>6</v>
      </c>
      <c r="Z4" s="91">
        <f>SUM(Z1:Z3)</f>
        <v>0</v>
      </c>
      <c r="AA4" s="92" t="s">
        <v>32</v>
      </c>
      <c r="AB4" s="91">
        <v>39</v>
      </c>
      <c r="AC4" s="91">
        <f>IF(AA4='ورود اطلاعات'!C24,AB4,0)</f>
        <v>39</v>
      </c>
    </row>
    <row r="5" spans="1:30" ht="24" customHeight="1" thickBot="1">
      <c r="A5" s="89"/>
      <c r="B5" s="476" t="s">
        <v>22</v>
      </c>
      <c r="C5" s="121" t="s">
        <v>3</v>
      </c>
      <c r="D5" s="164">
        <v>4000</v>
      </c>
      <c r="E5" s="119"/>
      <c r="F5" s="122" t="s">
        <v>146</v>
      </c>
      <c r="G5" s="165" t="s">
        <v>13</v>
      </c>
      <c r="H5" s="89"/>
      <c r="S5" s="93">
        <v>6</v>
      </c>
      <c r="T5" s="93">
        <v>6</v>
      </c>
      <c r="U5" s="93">
        <v>2</v>
      </c>
      <c r="V5" s="93">
        <v>2</v>
      </c>
      <c r="AA5" s="92" t="s">
        <v>147</v>
      </c>
      <c r="AB5" s="91">
        <v>46</v>
      </c>
      <c r="AC5" s="91">
        <f>IF(AA5='ورود اطلاعات'!C24,AB5,0)</f>
        <v>0</v>
      </c>
    </row>
    <row r="6" spans="1:30" ht="24" customHeight="1" thickBot="1">
      <c r="A6" s="89"/>
      <c r="B6" s="477"/>
      <c r="C6" s="125" t="s">
        <v>4</v>
      </c>
      <c r="D6" s="166">
        <v>0</v>
      </c>
      <c r="E6" s="119"/>
      <c r="F6" s="96"/>
      <c r="G6" s="96"/>
      <c r="H6" s="89"/>
      <c r="J6" s="189" t="s">
        <v>165</v>
      </c>
      <c r="K6" s="193" t="s">
        <v>13</v>
      </c>
      <c r="P6" s="107" t="s">
        <v>148</v>
      </c>
      <c r="Q6" s="107">
        <f>'جدول محاسبات'!F4*75%</f>
        <v>0</v>
      </c>
      <c r="R6" s="107">
        <f>IF(Q8&gt;Q6,Q6,Q8)</f>
        <v>0</v>
      </c>
      <c r="S6" s="93">
        <v>7</v>
      </c>
      <c r="T6" s="93">
        <v>7</v>
      </c>
      <c r="U6" s="93">
        <v>3</v>
      </c>
      <c r="V6" s="93">
        <v>3</v>
      </c>
      <c r="AA6" s="92" t="s">
        <v>149</v>
      </c>
      <c r="AB6" s="91">
        <v>53</v>
      </c>
      <c r="AC6" s="91">
        <f>IF(AA6='ورود اطلاعات'!C24,AB6,0)</f>
        <v>0</v>
      </c>
    </row>
    <row r="7" spans="1:30" ht="24" customHeight="1" thickBot="1">
      <c r="A7" s="89"/>
      <c r="B7" s="477"/>
      <c r="C7" s="125" t="s">
        <v>5</v>
      </c>
      <c r="D7" s="166">
        <v>3188</v>
      </c>
      <c r="E7" s="119"/>
      <c r="F7" s="97" t="s">
        <v>150</v>
      </c>
      <c r="G7" s="98" t="s">
        <v>1</v>
      </c>
      <c r="H7" s="89"/>
      <c r="P7" s="107" t="s">
        <v>151</v>
      </c>
      <c r="Q7" s="107">
        <f>('جدول محاسبات'!F4+'جدول محاسبات'!F5)*75%</f>
        <v>0</v>
      </c>
      <c r="R7" s="107">
        <f>IF(Q8&gt;Q7,Q7,Q8)</f>
        <v>0</v>
      </c>
      <c r="S7" s="93">
        <v>8</v>
      </c>
      <c r="T7" s="93">
        <v>8</v>
      </c>
      <c r="U7" s="93">
        <v>4</v>
      </c>
      <c r="V7" s="93">
        <v>4</v>
      </c>
      <c r="Y7" s="91" t="s">
        <v>172</v>
      </c>
      <c r="AB7" s="115" t="s">
        <v>59</v>
      </c>
      <c r="AC7" s="115">
        <f>IF('ورود اطلاعات'!C23="بلی",SUM(AC1:AC6),0)</f>
        <v>39</v>
      </c>
      <c r="AD7" s="115">
        <f>AC7/12</f>
        <v>3.25</v>
      </c>
    </row>
    <row r="8" spans="1:30" ht="24" customHeight="1" thickBot="1">
      <c r="A8" s="89"/>
      <c r="B8" s="478"/>
      <c r="C8" s="123" t="s">
        <v>6</v>
      </c>
      <c r="D8" s="99">
        <f>SUM(D5:D7)</f>
        <v>7188</v>
      </c>
      <c r="E8" s="119"/>
      <c r="F8" s="120" t="s">
        <v>10</v>
      </c>
      <c r="G8" s="167">
        <v>0</v>
      </c>
      <c r="H8" s="89"/>
      <c r="P8" s="107" t="s">
        <v>152</v>
      </c>
      <c r="Q8" s="181">
        <f>'جدول محاسبات'!F6+'ورود اطلاعات (2)'!K11</f>
        <v>58.5</v>
      </c>
      <c r="R8" s="107"/>
      <c r="S8" s="93">
        <v>9</v>
      </c>
      <c r="T8" s="93">
        <v>10</v>
      </c>
      <c r="U8" s="93">
        <v>5</v>
      </c>
      <c r="V8" s="93">
        <v>5</v>
      </c>
      <c r="Y8" s="91" t="s">
        <v>173</v>
      </c>
      <c r="AB8" s="115" t="s">
        <v>153</v>
      </c>
      <c r="AC8" s="115">
        <f>IF(('ورود اطلاعات'!C25/2)&lt;500,'ورود اطلاعات'!C25/2,500)</f>
        <v>0</v>
      </c>
      <c r="AD8" s="115">
        <f>AC8</f>
        <v>0</v>
      </c>
    </row>
    <row r="9" spans="1:30" ht="24" customHeight="1" thickBot="1">
      <c r="A9" s="89"/>
      <c r="B9" s="469" t="s">
        <v>15</v>
      </c>
      <c r="C9" s="470"/>
      <c r="D9" s="168">
        <v>1500</v>
      </c>
      <c r="E9" s="119"/>
      <c r="F9" s="122" t="s">
        <v>11</v>
      </c>
      <c r="G9" s="169">
        <v>0</v>
      </c>
      <c r="H9" s="89"/>
      <c r="P9" s="107" t="s">
        <v>154</v>
      </c>
      <c r="Q9" s="107">
        <f>IF('ورود اطلاعات (2)'!K6="خیر",R6,R7)</f>
        <v>0</v>
      </c>
      <c r="R9" s="107"/>
      <c r="S9" s="93">
        <v>10</v>
      </c>
      <c r="U9" s="93">
        <v>6</v>
      </c>
      <c r="V9" s="93">
        <v>6</v>
      </c>
      <c r="Y9" s="91" t="s">
        <v>174</v>
      </c>
      <c r="AB9" s="115" t="s">
        <v>175</v>
      </c>
      <c r="AC9" s="115">
        <f>Z4</f>
        <v>0</v>
      </c>
      <c r="AD9" s="115">
        <f>AC9/12</f>
        <v>0</v>
      </c>
    </row>
    <row r="10" spans="1:30" ht="24" customHeight="1" thickBot="1">
      <c r="A10" s="89"/>
      <c r="B10" s="484" t="s">
        <v>16</v>
      </c>
      <c r="C10" s="485"/>
      <c r="D10" s="166">
        <v>0</v>
      </c>
      <c r="E10" s="119"/>
      <c r="F10" s="89"/>
      <c r="G10" s="89"/>
      <c r="H10" s="89"/>
      <c r="J10" s="89"/>
      <c r="K10" s="89"/>
      <c r="S10" s="93">
        <v>11</v>
      </c>
      <c r="U10" s="93">
        <v>7</v>
      </c>
      <c r="V10" s="93">
        <v>7</v>
      </c>
      <c r="AB10" s="115" t="s">
        <v>155</v>
      </c>
      <c r="AC10" s="115">
        <f>SUM(AC7:AC9)*Sheet2!O86%</f>
        <v>19.5</v>
      </c>
      <c r="AD10" s="115">
        <f>SUM(AD7:AD9)*Sheet2!O86%</f>
        <v>1.625</v>
      </c>
    </row>
    <row r="11" spans="1:30" ht="24" customHeight="1">
      <c r="A11" s="89"/>
      <c r="B11" s="484" t="s">
        <v>17</v>
      </c>
      <c r="C11" s="485"/>
      <c r="D11" s="166">
        <v>0</v>
      </c>
      <c r="E11" s="119"/>
      <c r="F11" s="97" t="s">
        <v>150</v>
      </c>
      <c r="G11" s="98" t="s">
        <v>156</v>
      </c>
      <c r="H11" s="89"/>
      <c r="J11" s="105" t="s">
        <v>159</v>
      </c>
      <c r="K11" s="182">
        <f>AC11</f>
        <v>58.5</v>
      </c>
      <c r="S11" s="93">
        <v>12</v>
      </c>
      <c r="U11" s="93">
        <v>8</v>
      </c>
      <c r="V11" s="93">
        <v>8</v>
      </c>
      <c r="AB11" s="115" t="s">
        <v>196</v>
      </c>
      <c r="AC11" s="116">
        <f>IF(Sheet2!M22="قراردادی",SUM(AC7:AC10)*80%,SUM(AC7:AC10))</f>
        <v>58.5</v>
      </c>
      <c r="AD11" s="116">
        <f>SUM(AD7:AD10)</f>
        <v>4.875</v>
      </c>
    </row>
    <row r="12" spans="1:30" ht="24" customHeight="1" thickBot="1">
      <c r="A12" s="89"/>
      <c r="B12" s="484" t="s">
        <v>18</v>
      </c>
      <c r="C12" s="485"/>
      <c r="D12" s="166">
        <v>0</v>
      </c>
      <c r="E12" s="119"/>
      <c r="F12" s="124" t="s">
        <v>23</v>
      </c>
      <c r="G12" s="170">
        <v>21</v>
      </c>
      <c r="H12" s="89"/>
      <c r="J12" s="106" t="s">
        <v>160</v>
      </c>
      <c r="K12" s="114">
        <f>IF(Q9&gt;'جدول محاسبات'!F6,Q9,'جدول محاسبات'!F6)</f>
        <v>0</v>
      </c>
      <c r="S12" s="93">
        <v>13</v>
      </c>
      <c r="U12" s="93">
        <v>9</v>
      </c>
      <c r="V12" s="93">
        <v>9</v>
      </c>
    </row>
    <row r="13" spans="1:30" ht="24" customHeight="1">
      <c r="A13" s="89"/>
      <c r="B13" s="484" t="s">
        <v>19</v>
      </c>
      <c r="C13" s="485"/>
      <c r="D13" s="166">
        <v>800</v>
      </c>
      <c r="E13" s="119"/>
      <c r="F13" s="124" t="s">
        <v>24</v>
      </c>
      <c r="G13" s="171">
        <v>0</v>
      </c>
      <c r="H13" s="89"/>
      <c r="S13" s="93">
        <v>15</v>
      </c>
      <c r="U13" s="93">
        <v>10</v>
      </c>
      <c r="V13" s="93">
        <v>10</v>
      </c>
    </row>
    <row r="14" spans="1:30" ht="24" customHeight="1">
      <c r="A14" s="89"/>
      <c r="B14" s="484" t="s">
        <v>20</v>
      </c>
      <c r="C14" s="485"/>
      <c r="D14" s="166">
        <v>0</v>
      </c>
      <c r="E14" s="119"/>
      <c r="F14" s="124" t="s">
        <v>25</v>
      </c>
      <c r="G14" s="171">
        <v>0</v>
      </c>
      <c r="H14" s="89"/>
      <c r="U14" s="93">
        <v>11</v>
      </c>
      <c r="V14" s="93">
        <v>11</v>
      </c>
    </row>
    <row r="15" spans="1:30" ht="24" customHeight="1" thickBot="1">
      <c r="A15" s="89"/>
      <c r="B15" s="481" t="s">
        <v>21</v>
      </c>
      <c r="C15" s="482"/>
      <c r="D15" s="172">
        <v>0</v>
      </c>
      <c r="E15" s="119"/>
      <c r="F15" s="122" t="s">
        <v>157</v>
      </c>
      <c r="G15" s="165">
        <v>0</v>
      </c>
      <c r="H15" s="89"/>
      <c r="U15" s="93">
        <v>12</v>
      </c>
      <c r="V15" s="93">
        <v>12</v>
      </c>
    </row>
    <row r="16" spans="1:30" ht="20.25" thickBot="1">
      <c r="A16" s="89"/>
      <c r="B16" s="67"/>
      <c r="C16" s="67"/>
      <c r="D16" s="100"/>
      <c r="E16" s="89"/>
      <c r="F16" s="89"/>
      <c r="G16" s="89"/>
      <c r="H16" s="89"/>
      <c r="U16" s="93">
        <v>13</v>
      </c>
      <c r="V16" s="93">
        <v>13</v>
      </c>
    </row>
    <row r="17" spans="1:22" ht="19.5">
      <c r="A17" s="89"/>
      <c r="B17" s="479"/>
      <c r="C17" s="480"/>
      <c r="D17" s="480"/>
      <c r="E17" s="480"/>
      <c r="F17" s="480"/>
      <c r="H17" s="89"/>
      <c r="U17" s="93">
        <v>14</v>
      </c>
      <c r="V17" s="93">
        <v>14</v>
      </c>
    </row>
    <row r="18" spans="1:22" ht="20.25" thickBot="1">
      <c r="A18" s="89"/>
      <c r="B18" s="481" t="s">
        <v>158</v>
      </c>
      <c r="C18" s="482"/>
      <c r="D18" s="482"/>
      <c r="E18" s="482"/>
      <c r="F18" s="482"/>
      <c r="G18" s="172" t="s">
        <v>13</v>
      </c>
      <c r="H18" s="89"/>
      <c r="U18" s="93">
        <v>15</v>
      </c>
      <c r="V18" s="93">
        <v>15</v>
      </c>
    </row>
    <row r="19" spans="1:22" ht="25.5" customHeight="1">
      <c r="A19" s="89"/>
      <c r="B19" s="89"/>
      <c r="C19" s="89"/>
      <c r="D19" s="89"/>
      <c r="E19" s="89"/>
      <c r="F19" s="89"/>
      <c r="G19" s="89"/>
      <c r="H19" s="89"/>
      <c r="U19" s="93">
        <v>16</v>
      </c>
      <c r="V19" s="93">
        <v>16</v>
      </c>
    </row>
    <row r="20" spans="1:22">
      <c r="A20" s="89"/>
      <c r="E20" s="89"/>
      <c r="F20" s="89"/>
      <c r="G20" s="89"/>
      <c r="H20" s="89"/>
      <c r="U20" s="93">
        <v>17</v>
      </c>
      <c r="V20" s="93">
        <v>17</v>
      </c>
    </row>
    <row r="21" spans="1:22">
      <c r="A21" s="89"/>
      <c r="E21" s="89"/>
      <c r="F21" s="89"/>
      <c r="G21" s="89"/>
      <c r="H21" s="89"/>
      <c r="U21" s="93">
        <v>18</v>
      </c>
      <c r="V21" s="93">
        <v>18</v>
      </c>
    </row>
    <row r="22" spans="1:22" ht="19.5">
      <c r="A22" s="89"/>
      <c r="E22" s="101"/>
      <c r="F22" s="89"/>
      <c r="G22" s="89"/>
      <c r="H22" s="89"/>
      <c r="U22" s="93">
        <v>19</v>
      </c>
      <c r="V22" s="93">
        <v>19</v>
      </c>
    </row>
    <row r="23" spans="1:22" ht="21">
      <c r="A23" s="89"/>
      <c r="E23" s="102"/>
      <c r="F23" s="483"/>
      <c r="G23" s="483"/>
      <c r="H23" s="89"/>
      <c r="U23" s="93">
        <v>20</v>
      </c>
      <c r="V23" s="93">
        <v>20</v>
      </c>
    </row>
    <row r="24" spans="1:22">
      <c r="A24" s="89"/>
      <c r="E24" s="103"/>
      <c r="F24" s="422"/>
      <c r="G24" s="422"/>
      <c r="H24" s="89"/>
      <c r="U24" s="93">
        <v>21</v>
      </c>
      <c r="V24" s="93">
        <v>21</v>
      </c>
    </row>
    <row r="25" spans="1:22" ht="19.5">
      <c r="A25" s="89"/>
      <c r="E25" s="89"/>
      <c r="F25" s="487"/>
      <c r="G25" s="487"/>
      <c r="H25" s="89"/>
      <c r="U25" s="93">
        <v>22</v>
      </c>
      <c r="V25" s="93">
        <v>22</v>
      </c>
    </row>
    <row r="26" spans="1:22">
      <c r="A26" s="89"/>
      <c r="E26" s="104"/>
      <c r="F26" s="488"/>
      <c r="G26" s="488"/>
      <c r="H26" s="89"/>
      <c r="U26" s="93">
        <v>23</v>
      </c>
      <c r="V26" s="93">
        <v>23</v>
      </c>
    </row>
    <row r="27" spans="1:22">
      <c r="A27" s="89"/>
      <c r="E27" s="89"/>
      <c r="F27" s="486"/>
      <c r="G27" s="417"/>
      <c r="H27" s="89"/>
      <c r="U27" s="93">
        <v>24</v>
      </c>
      <c r="V27" s="93">
        <v>24</v>
      </c>
    </row>
    <row r="28" spans="1:22">
      <c r="A28" s="89"/>
      <c r="E28" s="89"/>
      <c r="F28" s="486"/>
      <c r="G28" s="417"/>
      <c r="H28" s="89"/>
      <c r="U28" s="93">
        <v>25</v>
      </c>
      <c r="V28" s="93">
        <v>25</v>
      </c>
    </row>
    <row r="29" spans="1:22">
      <c r="A29" s="89"/>
      <c r="B29" s="89"/>
      <c r="C29" s="89"/>
      <c r="D29" s="89"/>
      <c r="E29" s="89"/>
      <c r="F29" s="89"/>
      <c r="G29" s="89"/>
      <c r="H29" s="89"/>
      <c r="U29" s="93">
        <v>26</v>
      </c>
      <c r="V29" s="93">
        <v>26</v>
      </c>
    </row>
    <row r="30" spans="1:22">
      <c r="U30" s="93">
        <v>27</v>
      </c>
      <c r="V30" s="93">
        <v>27</v>
      </c>
    </row>
    <row r="31" spans="1:22">
      <c r="U31" s="93">
        <v>28</v>
      </c>
      <c r="V31" s="93">
        <v>28</v>
      </c>
    </row>
    <row r="32" spans="1:22">
      <c r="U32" s="93">
        <v>29</v>
      </c>
      <c r="V32" s="93">
        <v>29</v>
      </c>
    </row>
    <row r="33" spans="10:22">
      <c r="U33" s="93">
        <v>30</v>
      </c>
      <c r="V33" s="93">
        <v>30</v>
      </c>
    </row>
    <row r="34" spans="10:22">
      <c r="V34" s="93">
        <v>31</v>
      </c>
    </row>
    <row r="35" spans="10:22">
      <c r="V35" s="93">
        <v>32</v>
      </c>
    </row>
    <row r="36" spans="10:22">
      <c r="V36" s="93">
        <v>33</v>
      </c>
    </row>
    <row r="37" spans="10:22" ht="18.75" thickBot="1">
      <c r="V37" s="93">
        <v>34</v>
      </c>
    </row>
    <row r="38" spans="10:22" ht="20.25" thickBot="1">
      <c r="J38" s="117"/>
      <c r="K38" s="117"/>
      <c r="V38" s="93">
        <v>35</v>
      </c>
    </row>
    <row r="39" spans="10:22" ht="21.75" thickBot="1">
      <c r="J39" s="111"/>
      <c r="K39" s="113"/>
      <c r="V39" s="93">
        <v>36</v>
      </c>
    </row>
    <row r="40" spans="10:22">
      <c r="J40" s="110"/>
      <c r="K40" s="113"/>
      <c r="V40" s="93">
        <v>37</v>
      </c>
    </row>
    <row r="41" spans="10:22">
      <c r="J41" s="108"/>
      <c r="K41" s="113"/>
      <c r="V41" s="93">
        <v>38</v>
      </c>
    </row>
    <row r="42" spans="10:22">
      <c r="J42" s="108"/>
      <c r="K42" s="113"/>
      <c r="V42" s="93">
        <v>39</v>
      </c>
    </row>
    <row r="43" spans="10:22">
      <c r="J43" s="108"/>
      <c r="K43" s="113"/>
      <c r="V43" s="93">
        <v>40</v>
      </c>
    </row>
    <row r="44" spans="10:22">
      <c r="J44" s="108"/>
      <c r="K44" s="113"/>
      <c r="V44" s="93">
        <v>41</v>
      </c>
    </row>
    <row r="45" spans="10:22" ht="18.75" thickBot="1">
      <c r="J45" s="109"/>
      <c r="K45" s="113"/>
      <c r="V45" s="93">
        <v>42</v>
      </c>
    </row>
    <row r="46" spans="10:22">
      <c r="J46" s="49"/>
      <c r="K46" s="49"/>
      <c r="V46" s="93">
        <v>43</v>
      </c>
    </row>
    <row r="47" spans="10:22" ht="24">
      <c r="J47" s="88" t="s">
        <v>197</v>
      </c>
      <c r="K47" s="173">
        <v>17974500</v>
      </c>
      <c r="V47" s="93">
        <v>44</v>
      </c>
    </row>
    <row r="48" spans="10:22" ht="24">
      <c r="J48" s="88" t="s">
        <v>198</v>
      </c>
      <c r="K48" s="173">
        <v>22468000</v>
      </c>
      <c r="M48" s="183"/>
      <c r="V48" s="93">
        <v>45</v>
      </c>
    </row>
    <row r="49" spans="10:22" ht="24">
      <c r="J49" s="88" t="s">
        <v>162</v>
      </c>
      <c r="K49" s="174">
        <f>ROUND(Sheet2!H51+(Sheet2!H51*K50%),0)</f>
        <v>4829</v>
      </c>
      <c r="M49" s="183"/>
      <c r="V49" s="93">
        <v>46</v>
      </c>
    </row>
    <row r="50" spans="10:22" ht="24">
      <c r="J50" s="88" t="s">
        <v>135</v>
      </c>
      <c r="K50" s="175">
        <f>IF(K52&gt;Sheet2!H10,Sheet2!H10,K52)</f>
        <v>0</v>
      </c>
      <c r="V50" s="93">
        <v>47</v>
      </c>
    </row>
    <row r="51" spans="10:22" ht="24">
      <c r="J51" s="88" t="s">
        <v>166</v>
      </c>
      <c r="K51" s="176">
        <f>'جدول محاسبات'!G35/1000000</f>
        <v>79.270799999999994</v>
      </c>
      <c r="V51" s="93">
        <v>48</v>
      </c>
    </row>
    <row r="52" spans="10:22" ht="24">
      <c r="J52" s="88" t="s">
        <v>167</v>
      </c>
      <c r="K52" s="176">
        <f>IF(K51&lt;=51,((-Sheet2!H10)/(27))*(K51-51),0)</f>
        <v>0</v>
      </c>
      <c r="V52" s="93">
        <v>49</v>
      </c>
    </row>
    <row r="53" spans="10:22">
      <c r="V53" s="93">
        <v>50</v>
      </c>
    </row>
  </sheetData>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K6" xr:uid="{00000000-0002-0000-0600-000000000000}">
      <formula1>$W$2:$W$3</formula1>
    </dataValidation>
    <dataValidation type="list" allowBlank="1" showInputMessage="1" showErrorMessage="1" sqref="G15" xr:uid="{00000000-0002-0000-0600-000001000000}">
      <formula1>$U$3:$U$33</formula1>
    </dataValidation>
    <dataValidation type="list" allowBlank="1" showInputMessage="1" showErrorMessage="1" sqref="G14" xr:uid="{00000000-0002-0000-0600-000002000000}">
      <formula1>$S$3:$S$13</formula1>
    </dataValidation>
    <dataValidation type="list" allowBlank="1" showInputMessage="1" showErrorMessage="1" sqref="G13" xr:uid="{00000000-0002-0000-0600-000003000000}">
      <formula1>$T$3:$T$8</formula1>
    </dataValidation>
    <dataValidation type="list" allowBlank="1" showInputMessage="1" showErrorMessage="1" sqref="G12" xr:uid="{00000000-0002-0000-06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1402</vt:lpstr>
      <vt:lpstr>حکم سال 1403</vt:lpstr>
      <vt:lpstr>'جدول محاسبات'!Print_Area</vt:lpstr>
      <vt:lpstr>'حکم سال 1402'!Print_Area</vt:lpstr>
      <vt:lpstr>'حکم سال 1403'!Print_Area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2024-03-27T16:21:26Z</dcterms:modified>
</cp:coreProperties>
</file>